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pivotCache/pivotCacheDefinition2.xml" ContentType="application/vnd.openxmlformats-officedocument.spreadsheetml.pivotCacheDefinition+xml"/>
  <Override PartName="/xl/pivotCache/pivotCacheRecords2.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ink/ink1.xml" ContentType="application/inkml+xml"/>
  <Override PartName="/xl/pivotTables/pivotTable1.xml" ContentType="application/vnd.openxmlformats-officedocument.spreadsheetml.pivotTable+xml"/>
  <Override PartName="/xl/pivotTables/pivotTable2.xml" ContentType="application/vnd.openxmlformats-officedocument.spreadsheetml.pivotTable+xml"/>
  <Override PartName="/xl/pivotTables/pivotTable3.xml" ContentType="application/vnd.openxmlformats-officedocument.spreadsheetml.pivotTable+xml"/>
  <Override PartName="/xl/pivotTables/pivotTable4.xml" ContentType="application/vnd.openxmlformats-officedocument.spreadsheetml.pivotTable+xml"/>
  <Override PartName="/xl/pivotTables/pivotTable5.xml" ContentType="application/vnd.openxmlformats-officedocument.spreadsheetml.pivotTable+xml"/>
  <Override PartName="/xl/pivotTables/pivotTable6.xml" ContentType="application/vnd.openxmlformats-officedocument.spreadsheetml.pivotTable+xml"/>
  <Override PartName="/xl/comments1.xml" ContentType="application/vnd.openxmlformats-officedocument.spreadsheetml.comments+xml"/>
  <Override PartName="/xl/threadedComments/threadedComment1.xml" ContentType="application/vnd.ms-excel.threadedcomments+xml"/>
  <Override PartName="/xl/drawings/drawing3.xml" ContentType="application/vnd.openxmlformats-officedocument.drawing+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defaultThemeVersion="166925"/>
  <mc:AlternateContent xmlns:mc="http://schemas.openxmlformats.org/markup-compatibility/2006">
    <mc:Choice Requires="x15">
      <x15ac:absPath xmlns:x15ac="http://schemas.microsoft.com/office/spreadsheetml/2010/11/ac" url="https://gizonline.sharepoint.com/sites/GCFIndonesiaREDDwithguests/Freigegebene Dokumente/Funding Proposal Development/Annex 22 Assessment of GHG emission reductions, monitoring and reporting/"/>
    </mc:Choice>
  </mc:AlternateContent>
  <xr:revisionPtr revIDLastSave="163" documentId="8_{0FA97869-2D2C-431D-8090-28715B0AC1EB}" xr6:coauthVersionLast="47" xr6:coauthVersionMax="47" xr10:uidLastSave="{600DE2A4-B56B-4BFF-8A8A-6EB8C47129E5}"/>
  <bookViews>
    <workbookView xWindow="-108" yWindow="-108" windowWidth="23256" windowHeight="12456" tabRatio="822" activeTab="4" xr2:uid="{2EBE724C-695B-4C84-B07A-6648741E2C12}"/>
  </bookViews>
  <sheets>
    <sheet name="Readme" sheetId="11" r:id="rId1"/>
    <sheet name="ER Target" sheetId="9" r:id="rId2"/>
    <sheet name="Pivot ER" sheetId="10" r:id="rId3"/>
    <sheet name="Program Activity-Rev" sheetId="3" r:id="rId4"/>
    <sheet name="Activities-Direct Mitigation" sheetId="12" r:id="rId5"/>
    <sheet name="Baseline FRL" sheetId="5" r:id="rId6"/>
    <sheet name="Implementing Areas" sheetId="6" r:id="rId7"/>
    <sheet name="EF Sources" sheetId="7" r:id="rId8"/>
  </sheets>
  <externalReferences>
    <externalReference r:id="rId9"/>
  </externalReferences>
  <definedNames>
    <definedName name="_xlnm._FilterDatabase" localSheetId="3" hidden="1">'Program Activity-Rev'!$B$4:$BF$67</definedName>
    <definedName name="CapitalApprovedProProjekt">[1]Parameter!$B$8</definedName>
    <definedName name="closedopen" localSheetId="7">#REF!</definedName>
    <definedName name="closedopen">#REF!</definedName>
    <definedName name="CODE_LC" localSheetId="7">#REF!</definedName>
    <definedName name="CODE_LC">#REF!</definedName>
    <definedName name="Contingency">[1]Parameter!$B$4</definedName>
    <definedName name="Database1" localSheetId="7">#REF!</definedName>
    <definedName name="Database1">#REF!</definedName>
    <definedName name="_xlnm.Database" localSheetId="7">#REF!</definedName>
    <definedName name="_xlnm.Database">#REF!</definedName>
    <definedName name="EigenbeitragMin_IKU">[1]Parameter!$B$5</definedName>
    <definedName name="Gesamtbudget_InnoFaz">[1]Parameter!$B$2</definedName>
    <definedName name="Inflation_adjustment">[1]Parameter!$B$15</definedName>
    <definedName name="N°CcreditsGeneriert_avgPerProjekt_p.a.">[1]Parameter!$B$9</definedName>
    <definedName name="N°Projekte_InnoFaz">[1]Parameter!$B$6</definedName>
    <definedName name="N°ProjekteMitPD_InnoFaz">[1]Parameter!$B$7</definedName>
    <definedName name="ProjectEnd">INDEX(#REF!,MIN(ROW(data))+ROWS(data)-1,1)</definedName>
    <definedName name="ProjectStart">#REF!(#REF!)</definedName>
  </definedNames>
  <calcPr calcId="191029"/>
  <pivotCaches>
    <pivotCache cacheId="2" r:id="rId10"/>
    <pivotCache cacheId="3" r:id="rId11"/>
  </pivotCache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14" i="12" l="1"/>
  <c r="J61" i="9"/>
  <c r="K61" i="9" s="1"/>
  <c r="K63" i="9"/>
  <c r="K60" i="9"/>
  <c r="I60" i="9"/>
  <c r="J60" i="9"/>
  <c r="J58" i="9"/>
  <c r="H62" i="9"/>
  <c r="H64" i="9"/>
  <c r="H63" i="9"/>
  <c r="H61" i="9"/>
  <c r="H60" i="9"/>
  <c r="H5" i="9"/>
  <c r="C18" i="5"/>
  <c r="F16" i="5"/>
  <c r="F18" i="5"/>
  <c r="C16" i="5"/>
  <c r="F17" i="5"/>
  <c r="C17" i="5"/>
  <c r="G13" i="5"/>
  <c r="D116" i="10"/>
  <c r="G114" i="10"/>
  <c r="G106" i="10"/>
  <c r="K62" i="9" l="1"/>
  <c r="K64" i="9"/>
  <c r="I61" i="9"/>
  <c r="J63" i="9"/>
  <c r="I20" i="9"/>
  <c r="I13" i="9"/>
  <c r="I14" i="9"/>
  <c r="I15" i="9"/>
  <c r="I16" i="9"/>
  <c r="I17" i="9"/>
  <c r="I18" i="9"/>
  <c r="I19" i="9"/>
  <c r="I21" i="9"/>
  <c r="I22" i="9"/>
  <c r="I23" i="9"/>
  <c r="I24" i="9"/>
  <c r="I25" i="9"/>
  <c r="I26" i="9"/>
  <c r="I27" i="9"/>
  <c r="I28" i="9"/>
  <c r="I29" i="9"/>
  <c r="I30" i="9"/>
  <c r="I31" i="9"/>
  <c r="I32" i="9"/>
  <c r="I33" i="9"/>
  <c r="I34" i="9"/>
  <c r="I35" i="9"/>
  <c r="I36" i="9"/>
  <c r="I37" i="9"/>
  <c r="I38" i="9"/>
  <c r="I39" i="9"/>
  <c r="I40" i="9"/>
  <c r="I41" i="9"/>
  <c r="I42" i="9"/>
  <c r="I43" i="9"/>
  <c r="I44" i="9"/>
  <c r="I45" i="9"/>
  <c r="I46" i="9"/>
  <c r="I47" i="9"/>
  <c r="I48" i="9"/>
  <c r="I49" i="9"/>
  <c r="I50" i="9"/>
  <c r="I51" i="9"/>
  <c r="I52" i="9"/>
  <c r="I53" i="9"/>
  <c r="I54" i="9"/>
  <c r="I12" i="9"/>
  <c r="M20" i="9"/>
  <c r="M19" i="9"/>
  <c r="M17" i="9"/>
  <c r="M16" i="9" s="1"/>
  <c r="M14" i="9"/>
  <c r="M15" i="9"/>
  <c r="M13" i="9"/>
  <c r="R52" i="3"/>
  <c r="I71" i="9" l="1"/>
  <c r="M4" i="9"/>
  <c r="H4" i="9"/>
  <c r="N4" i="9"/>
  <c r="L4" i="9"/>
  <c r="K4" i="9"/>
  <c r="J4" i="9"/>
  <c r="I4" i="9"/>
  <c r="I55" i="9"/>
  <c r="T55" i="3" l="1"/>
  <c r="U55" i="3"/>
  <c r="V55" i="3"/>
  <c r="W55" i="3"/>
  <c r="X55" i="3"/>
  <c r="Y55" i="3"/>
  <c r="Z55" i="3"/>
  <c r="AA55" i="3"/>
  <c r="S55" i="3"/>
  <c r="R55" i="3"/>
  <c r="C65" i="6"/>
  <c r="D65" i="6"/>
  <c r="E65" i="6"/>
  <c r="F65" i="6"/>
  <c r="G65" i="6"/>
  <c r="H65" i="6"/>
  <c r="I65" i="6"/>
  <c r="K65" i="6"/>
  <c r="B65" i="6"/>
  <c r="B64" i="6"/>
  <c r="C51" i="6"/>
  <c r="D51" i="6"/>
  <c r="E51" i="6"/>
  <c r="F51" i="6"/>
  <c r="G51" i="6"/>
  <c r="H51" i="6"/>
  <c r="I51" i="6"/>
  <c r="J51" i="6"/>
  <c r="K51" i="6"/>
  <c r="B51" i="6"/>
  <c r="D6" i="9"/>
  <c r="H7" i="12"/>
  <c r="K69" i="9" l="1"/>
  <c r="K70" i="9"/>
  <c r="F9" i="12" l="1"/>
  <c r="H9" i="12" s="1"/>
  <c r="D8" i="9"/>
  <c r="W92" i="9" l="1"/>
  <c r="T92" i="9"/>
  <c r="R8" i="3"/>
  <c r="AB8" i="3" s="1"/>
  <c r="R29" i="3"/>
  <c r="J29" i="3"/>
  <c r="I29" i="3"/>
  <c r="H29" i="3"/>
  <c r="K80" i="9"/>
  <c r="AC81" i="9" s="1"/>
  <c r="H81" i="9"/>
  <c r="Z82" i="9" s="1"/>
  <c r="H55" i="3"/>
  <c r="C28" i="5" l="1"/>
  <c r="D5" i="9"/>
  <c r="D4" i="9"/>
  <c r="E13" i="12"/>
  <c r="H13" i="12"/>
  <c r="F13" i="12"/>
  <c r="H12" i="12"/>
  <c r="H11" i="12"/>
  <c r="F12" i="12"/>
  <c r="F11" i="12"/>
  <c r="D7" i="9"/>
  <c r="F7" i="12"/>
  <c r="H5" i="12"/>
  <c r="F5" i="12"/>
  <c r="F4" i="12"/>
  <c r="H4" i="12"/>
  <c r="O7" i="3"/>
  <c r="Y8" i="3"/>
  <c r="G107" i="10"/>
  <c r="G108" i="10"/>
  <c r="G109" i="10"/>
  <c r="G110" i="10"/>
  <c r="G111" i="10"/>
  <c r="G112" i="10"/>
  <c r="G113" i="10"/>
  <c r="G115" i="10"/>
  <c r="F116" i="10"/>
  <c r="E116" i="10"/>
  <c r="G40" i="6"/>
  <c r="K44" i="6"/>
  <c r="J5" i="12"/>
  <c r="K91" i="9"/>
  <c r="AC92" i="9" s="1"/>
  <c r="L91" i="9"/>
  <c r="AD92" i="9" s="1"/>
  <c r="M91" i="9"/>
  <c r="AE92" i="9" s="1"/>
  <c r="L90" i="9"/>
  <c r="AD91" i="9" s="1"/>
  <c r="M90" i="9"/>
  <c r="AE91" i="9" s="1"/>
  <c r="K90" i="9"/>
  <c r="AC91" i="9" s="1"/>
  <c r="K87" i="9"/>
  <c r="AC88" i="9" s="1"/>
  <c r="L87" i="9"/>
  <c r="AD88" i="9" s="1"/>
  <c r="M87" i="9"/>
  <c r="AE88" i="9" s="1"/>
  <c r="K88" i="9"/>
  <c r="AC89" i="9" s="1"/>
  <c r="L88" i="9"/>
  <c r="AD89" i="9" s="1"/>
  <c r="M88" i="9"/>
  <c r="AE89" i="9" s="1"/>
  <c r="L86" i="9"/>
  <c r="AD87" i="9" s="1"/>
  <c r="M86" i="9"/>
  <c r="AE87" i="9" s="1"/>
  <c r="K86" i="9"/>
  <c r="AC87" i="9" s="1"/>
  <c r="K81" i="9"/>
  <c r="AC82" i="9" s="1"/>
  <c r="L81" i="9"/>
  <c r="AD82" i="9" s="1"/>
  <c r="M81" i="9"/>
  <c r="AE82" i="9" s="1"/>
  <c r="K82" i="9"/>
  <c r="AC83" i="9" s="1"/>
  <c r="L82" i="9"/>
  <c r="AD83" i="9" s="1"/>
  <c r="M82" i="9"/>
  <c r="AE83" i="9" s="1"/>
  <c r="K83" i="9"/>
  <c r="AC84" i="9" s="1"/>
  <c r="L83" i="9"/>
  <c r="AD84" i="9" s="1"/>
  <c r="M83" i="9"/>
  <c r="AE84" i="9" s="1"/>
  <c r="K84" i="9"/>
  <c r="L84" i="9"/>
  <c r="AD85" i="9" s="1"/>
  <c r="M84" i="9"/>
  <c r="AE85" i="9" s="1"/>
  <c r="L80" i="9"/>
  <c r="AD81" i="9" s="1"/>
  <c r="M80" i="9"/>
  <c r="H91" i="9"/>
  <c r="Z92" i="9" s="1"/>
  <c r="I91" i="9"/>
  <c r="AA92" i="9" s="1"/>
  <c r="J91" i="9"/>
  <c r="AB92" i="9" s="1"/>
  <c r="I90" i="9"/>
  <c r="AA91" i="9" s="1"/>
  <c r="J90" i="9"/>
  <c r="AB91" i="9" s="1"/>
  <c r="H90" i="9"/>
  <c r="Z91" i="9" s="1"/>
  <c r="H87" i="9"/>
  <c r="Z88" i="9" s="1"/>
  <c r="I87" i="9"/>
  <c r="AA88" i="9" s="1"/>
  <c r="J87" i="9"/>
  <c r="AB88" i="9" s="1"/>
  <c r="H88" i="9"/>
  <c r="Z89" i="9" s="1"/>
  <c r="I88" i="9"/>
  <c r="AA89" i="9" s="1"/>
  <c r="J88" i="9"/>
  <c r="AB89" i="9" s="1"/>
  <c r="I86" i="9"/>
  <c r="AA87" i="9" s="1"/>
  <c r="J86" i="9"/>
  <c r="AB87" i="9" s="1"/>
  <c r="H86" i="9"/>
  <c r="Z87" i="9" s="1"/>
  <c r="I81" i="9"/>
  <c r="AA82" i="9" s="1"/>
  <c r="J81" i="9"/>
  <c r="AB82" i="9" s="1"/>
  <c r="H82" i="9"/>
  <c r="Z83" i="9" s="1"/>
  <c r="I82" i="9"/>
  <c r="AA83" i="9" s="1"/>
  <c r="J82" i="9"/>
  <c r="AB83" i="9" s="1"/>
  <c r="H83" i="9"/>
  <c r="Z84" i="9" s="1"/>
  <c r="I83" i="9"/>
  <c r="AA84" i="9" s="1"/>
  <c r="J83" i="9"/>
  <c r="AB84" i="9" s="1"/>
  <c r="H84" i="9"/>
  <c r="Z85" i="9" s="1"/>
  <c r="I84" i="9"/>
  <c r="AA85" i="9" s="1"/>
  <c r="J84" i="9"/>
  <c r="AB85" i="9" s="1"/>
  <c r="I80" i="9"/>
  <c r="AA81" i="9" s="1"/>
  <c r="J80" i="9"/>
  <c r="AB81" i="9" s="1"/>
  <c r="H80" i="9"/>
  <c r="N100" i="10"/>
  <c r="H23" i="3"/>
  <c r="J12" i="12"/>
  <c r="J9" i="12"/>
  <c r="G55" i="6"/>
  <c r="G57" i="6"/>
  <c r="G59" i="6"/>
  <c r="K58" i="6"/>
  <c r="G41" i="6"/>
  <c r="G42" i="6"/>
  <c r="G56" i="6" s="1"/>
  <c r="G43" i="6"/>
  <c r="G44" i="6"/>
  <c r="G58" i="6" s="1"/>
  <c r="G45" i="6"/>
  <c r="G46" i="6"/>
  <c r="G60" i="6" s="1"/>
  <c r="G48" i="6"/>
  <c r="G62" i="6" s="1"/>
  <c r="G49" i="6"/>
  <c r="G63" i="6" s="1"/>
  <c r="G50" i="6"/>
  <c r="G47" i="6"/>
  <c r="G61" i="6" s="1"/>
  <c r="J7" i="12"/>
  <c r="G116" i="10" l="1"/>
  <c r="I63" i="9"/>
  <c r="M12" i="9"/>
  <c r="AC85" i="9"/>
  <c r="V84" i="9"/>
  <c r="Z81" i="9"/>
  <c r="AE81" i="9"/>
  <c r="M92" i="9"/>
  <c r="V80" i="9"/>
  <c r="U86" i="9"/>
  <c r="M18" i="9"/>
  <c r="J71" i="9" s="1"/>
  <c r="U87" i="9"/>
  <c r="U91" i="9"/>
  <c r="H92" i="9"/>
  <c r="I92" i="9"/>
  <c r="U84" i="9"/>
  <c r="U88" i="9"/>
  <c r="U90" i="9"/>
  <c r="V81" i="9"/>
  <c r="V88" i="9"/>
  <c r="V90" i="9"/>
  <c r="G64" i="6"/>
  <c r="G54" i="6"/>
  <c r="J92" i="9"/>
  <c r="U82" i="9"/>
  <c r="U83" i="9"/>
  <c r="V82" i="9"/>
  <c r="V83" i="9"/>
  <c r="V85" i="9"/>
  <c r="V86" i="9"/>
  <c r="V87" i="9"/>
  <c r="V89" i="9"/>
  <c r="V91" i="9"/>
  <c r="K92" i="9"/>
  <c r="L92" i="9"/>
  <c r="R92" i="9"/>
  <c r="N101" i="10"/>
  <c r="N102" i="10"/>
  <c r="X8" i="3"/>
  <c r="X9" i="3"/>
  <c r="X10" i="3"/>
  <c r="X11" i="3"/>
  <c r="X13" i="3"/>
  <c r="X14" i="3"/>
  <c r="X15" i="3"/>
  <c r="X16" i="3"/>
  <c r="X17" i="3"/>
  <c r="X18" i="3"/>
  <c r="X19" i="3"/>
  <c r="X22" i="3"/>
  <c r="X23" i="3"/>
  <c r="X24" i="3"/>
  <c r="X25" i="3"/>
  <c r="X29" i="3"/>
  <c r="X30" i="3"/>
  <c r="X33" i="3"/>
  <c r="X36" i="3"/>
  <c r="X37" i="3"/>
  <c r="X38" i="3"/>
  <c r="X40" i="3"/>
  <c r="AH40" i="3" s="1"/>
  <c r="X52" i="3"/>
  <c r="X53" i="3"/>
  <c r="X54" i="3"/>
  <c r="X62" i="3"/>
  <c r="X63" i="3"/>
  <c r="X64" i="3"/>
  <c r="X65" i="3"/>
  <c r="X66" i="3"/>
  <c r="X67" i="3"/>
  <c r="H71" i="9" l="1"/>
  <c r="H73" i="9" s="1"/>
  <c r="U81" i="9" s="1"/>
  <c r="M23" i="9"/>
  <c r="M24" i="9" s="1"/>
  <c r="K58" i="9"/>
  <c r="J72" i="9"/>
  <c r="V92" i="9"/>
  <c r="I73" i="9"/>
  <c r="L60" i="9"/>
  <c r="J59" i="9"/>
  <c r="J62" i="9" s="1"/>
  <c r="AH67" i="3"/>
  <c r="AF12" i="3"/>
  <c r="AH13" i="3"/>
  <c r="AH19" i="3"/>
  <c r="AH55" i="3"/>
  <c r="AH66" i="3"/>
  <c r="AH12" i="3"/>
  <c r="AH54" i="3"/>
  <c r="AG12" i="3"/>
  <c r="AH18" i="3"/>
  <c r="AH25" i="3"/>
  <c r="AH38" i="3"/>
  <c r="AH65" i="3"/>
  <c r="AI12" i="3"/>
  <c r="AH11" i="3"/>
  <c r="AJ12" i="3"/>
  <c r="AH17" i="3"/>
  <c r="AH24" i="3"/>
  <c r="AH37" i="3"/>
  <c r="AH53" i="3"/>
  <c r="AH64" i="3"/>
  <c r="AH23" i="3"/>
  <c r="AH36" i="3"/>
  <c r="AH63" i="3"/>
  <c r="AH9" i="3"/>
  <c r="AH15" i="3"/>
  <c r="AH22" i="3"/>
  <c r="AH29" i="3"/>
  <c r="AK12" i="3"/>
  <c r="AH10" i="3"/>
  <c r="AH16" i="3"/>
  <c r="AH30" i="3"/>
  <c r="AH52" i="3"/>
  <c r="AH8" i="3"/>
  <c r="AB12" i="3"/>
  <c r="AE12" i="3"/>
  <c r="AH33" i="3"/>
  <c r="AH14" i="3"/>
  <c r="AH62" i="3"/>
  <c r="AD12" i="3"/>
  <c r="AC12" i="3"/>
  <c r="L58" i="9" l="1"/>
  <c r="K59" i="9"/>
  <c r="L59" i="9" s="1"/>
  <c r="J73" i="9"/>
  <c r="R4" i="9"/>
  <c r="L64" i="9"/>
  <c r="M58" i="9" s="1"/>
  <c r="H72" i="9"/>
  <c r="U80" i="9" s="1"/>
  <c r="U92" i="9" s="1"/>
  <c r="K71" i="9"/>
  <c r="I72" i="9"/>
  <c r="M109" i="10"/>
  <c r="J64" i="9"/>
  <c r="K72" i="9" l="1"/>
  <c r="K73" i="9"/>
  <c r="C59" i="6"/>
  <c r="D59" i="6"/>
  <c r="E59" i="6"/>
  <c r="F59" i="6"/>
  <c r="H59" i="6"/>
  <c r="I59" i="6"/>
  <c r="K59" i="6"/>
  <c r="B59" i="6"/>
  <c r="T9" i="6"/>
  <c r="N8" i="6"/>
  <c r="C9" i="6"/>
  <c r="O9" i="6" s="1"/>
  <c r="D9" i="6"/>
  <c r="P9" i="6" s="1"/>
  <c r="H9" i="6"/>
  <c r="I9" i="6"/>
  <c r="U9" i="6" s="1"/>
  <c r="J9" i="6"/>
  <c r="K9" i="6"/>
  <c r="W9" i="6" s="1"/>
  <c r="B9" i="6"/>
  <c r="N9" i="6" s="1"/>
  <c r="V22" i="3" l="1"/>
  <c r="AF22" i="3" s="1"/>
  <c r="V25" i="3"/>
  <c r="AF25" i="3" s="1"/>
  <c r="V24" i="3"/>
  <c r="AF24" i="3" s="1"/>
  <c r="V23" i="3"/>
  <c r="AF23" i="3" s="1"/>
  <c r="Y24" i="3"/>
  <c r="AI24" i="3" s="1"/>
  <c r="W24" i="3"/>
  <c r="AG24" i="3" s="1"/>
  <c r="Y22" i="3"/>
  <c r="AI22" i="3" s="1"/>
  <c r="Y23" i="3"/>
  <c r="AI23" i="3" s="1"/>
  <c r="W22" i="3"/>
  <c r="AG22" i="3" s="1"/>
  <c r="Y25" i="3"/>
  <c r="AI25" i="3" s="1"/>
  <c r="W23" i="3"/>
  <c r="AG23" i="3" s="1"/>
  <c r="W25" i="3"/>
  <c r="AG25" i="3" s="1"/>
  <c r="U22" i="3"/>
  <c r="AE22" i="3" s="1"/>
  <c r="U25" i="3"/>
  <c r="AE25" i="3" s="1"/>
  <c r="R24" i="3"/>
  <c r="AB24" i="3" s="1"/>
  <c r="U24" i="3"/>
  <c r="AE24" i="3" s="1"/>
  <c r="R23" i="3"/>
  <c r="AB23" i="3" s="1"/>
  <c r="R22" i="3"/>
  <c r="AB22" i="3" s="1"/>
  <c r="U23" i="3"/>
  <c r="AE23" i="3" s="1"/>
  <c r="R25" i="3"/>
  <c r="AB25" i="3" s="1"/>
  <c r="AA24" i="3"/>
  <c r="AK24" i="3" s="1"/>
  <c r="AA23" i="3"/>
  <c r="AK23" i="3" s="1"/>
  <c r="AA22" i="3"/>
  <c r="AK22" i="3" s="1"/>
  <c r="AA25" i="3"/>
  <c r="AK25" i="3" s="1"/>
  <c r="Z24" i="3"/>
  <c r="AJ24" i="3" s="1"/>
  <c r="Z23" i="3"/>
  <c r="AJ23" i="3" s="1"/>
  <c r="Z22" i="3"/>
  <c r="AJ22" i="3" s="1"/>
  <c r="Z25" i="3"/>
  <c r="AJ25" i="3" s="1"/>
  <c r="T23" i="3"/>
  <c r="AD23" i="3" s="1"/>
  <c r="S24" i="3"/>
  <c r="AC24" i="3" s="1"/>
  <c r="T22" i="3"/>
  <c r="AD22" i="3" s="1"/>
  <c r="S25" i="3"/>
  <c r="AC25" i="3" s="1"/>
  <c r="S23" i="3"/>
  <c r="AC23" i="3" s="1"/>
  <c r="T24" i="3"/>
  <c r="AD24" i="3" s="1"/>
  <c r="T25" i="3"/>
  <c r="AD25" i="3" s="1"/>
  <c r="S22" i="3"/>
  <c r="AC22" i="3" s="1"/>
  <c r="H8" i="3"/>
  <c r="I8" i="3"/>
  <c r="J8" i="3"/>
  <c r="K8" i="3"/>
  <c r="L8" i="3"/>
  <c r="M8" i="3"/>
  <c r="N8" i="3"/>
  <c r="AR8" i="3" s="1"/>
  <c r="O8" i="3"/>
  <c r="P8" i="3"/>
  <c r="Q8" i="3"/>
  <c r="H9" i="3"/>
  <c r="I9" i="3"/>
  <c r="J9" i="3"/>
  <c r="K9" i="3"/>
  <c r="L9" i="3"/>
  <c r="M9" i="3"/>
  <c r="N9" i="3"/>
  <c r="AR9" i="3" s="1"/>
  <c r="O9" i="3"/>
  <c r="P9" i="3"/>
  <c r="Q9" i="3"/>
  <c r="H10" i="3"/>
  <c r="I10" i="3"/>
  <c r="J10" i="3"/>
  <c r="K10" i="3"/>
  <c r="L10" i="3"/>
  <c r="M10" i="3"/>
  <c r="N10" i="3"/>
  <c r="AR10" i="3" s="1"/>
  <c r="O10" i="3"/>
  <c r="P10" i="3"/>
  <c r="Q10" i="3"/>
  <c r="H11" i="3"/>
  <c r="I11" i="3"/>
  <c r="J11" i="3"/>
  <c r="K11" i="3"/>
  <c r="L11" i="3"/>
  <c r="M11" i="3"/>
  <c r="N11" i="3"/>
  <c r="AR11" i="3" s="1"/>
  <c r="O11" i="3"/>
  <c r="P11" i="3"/>
  <c r="Q11" i="3"/>
  <c r="H12" i="3"/>
  <c r="AL12" i="3" s="1"/>
  <c r="I12" i="3"/>
  <c r="AM12" i="3" s="1"/>
  <c r="J12" i="3"/>
  <c r="AN12" i="3" s="1"/>
  <c r="K12" i="3"/>
  <c r="AO12" i="3" s="1"/>
  <c r="L12" i="3"/>
  <c r="AP12" i="3" s="1"/>
  <c r="M12" i="3"/>
  <c r="AQ12" i="3" s="1"/>
  <c r="N12" i="3"/>
  <c r="AR12" i="3" s="1"/>
  <c r="O12" i="3"/>
  <c r="AS12" i="3" s="1"/>
  <c r="P12" i="3"/>
  <c r="AT12" i="3" s="1"/>
  <c r="Q12" i="3"/>
  <c r="AU12" i="3" s="1"/>
  <c r="H13" i="3"/>
  <c r="I13" i="3"/>
  <c r="J13" i="3"/>
  <c r="K13" i="3"/>
  <c r="L13" i="3"/>
  <c r="M13" i="3"/>
  <c r="N13" i="3"/>
  <c r="AR13" i="3" s="1"/>
  <c r="O13" i="3"/>
  <c r="P13" i="3"/>
  <c r="Q13" i="3"/>
  <c r="H14" i="3"/>
  <c r="I14" i="3"/>
  <c r="J14" i="3"/>
  <c r="K14" i="3"/>
  <c r="L14" i="3"/>
  <c r="M14" i="3"/>
  <c r="N14" i="3"/>
  <c r="AR14" i="3" s="1"/>
  <c r="O14" i="3"/>
  <c r="P14" i="3"/>
  <c r="Q14" i="3"/>
  <c r="H15" i="3"/>
  <c r="I15" i="3"/>
  <c r="J15" i="3"/>
  <c r="K15" i="3"/>
  <c r="L15" i="3"/>
  <c r="M15" i="3"/>
  <c r="N15" i="3"/>
  <c r="AR15" i="3" s="1"/>
  <c r="O15" i="3"/>
  <c r="P15" i="3"/>
  <c r="Q15" i="3"/>
  <c r="H16" i="3"/>
  <c r="I16" i="3"/>
  <c r="J16" i="3"/>
  <c r="K16" i="3"/>
  <c r="L16" i="3"/>
  <c r="M16" i="3"/>
  <c r="N16" i="3"/>
  <c r="AR16" i="3" s="1"/>
  <c r="O16" i="3"/>
  <c r="P16" i="3"/>
  <c r="Q16" i="3"/>
  <c r="H17" i="3"/>
  <c r="I17" i="3"/>
  <c r="J17" i="3"/>
  <c r="K17" i="3"/>
  <c r="L17" i="3"/>
  <c r="M17" i="3"/>
  <c r="N17" i="3"/>
  <c r="AR17" i="3" s="1"/>
  <c r="O17" i="3"/>
  <c r="P17" i="3"/>
  <c r="Q17" i="3"/>
  <c r="H18" i="3"/>
  <c r="I18" i="3"/>
  <c r="J18" i="3"/>
  <c r="K18" i="3"/>
  <c r="L18" i="3"/>
  <c r="M18" i="3"/>
  <c r="N18" i="3"/>
  <c r="AR18" i="3" s="1"/>
  <c r="O18" i="3"/>
  <c r="P18" i="3"/>
  <c r="Q18" i="3"/>
  <c r="H19" i="3"/>
  <c r="I19" i="3"/>
  <c r="J19" i="3"/>
  <c r="K19" i="3"/>
  <c r="L19" i="3"/>
  <c r="M19" i="3"/>
  <c r="N19" i="3"/>
  <c r="AR19" i="3" s="1"/>
  <c r="O19" i="3"/>
  <c r="P19" i="3"/>
  <c r="Q19" i="3"/>
  <c r="H22" i="3"/>
  <c r="I22" i="3"/>
  <c r="J22" i="3"/>
  <c r="K22" i="3"/>
  <c r="L22" i="3"/>
  <c r="M22" i="3"/>
  <c r="N22" i="3"/>
  <c r="AR22" i="3" s="1"/>
  <c r="O22" i="3"/>
  <c r="P22" i="3"/>
  <c r="Q22" i="3"/>
  <c r="I23" i="3"/>
  <c r="J23" i="3"/>
  <c r="K23" i="3"/>
  <c r="L23" i="3"/>
  <c r="M23" i="3"/>
  <c r="N23" i="3"/>
  <c r="AR23" i="3" s="1"/>
  <c r="O23" i="3"/>
  <c r="P23" i="3"/>
  <c r="Q23" i="3"/>
  <c r="H24" i="3"/>
  <c r="I24" i="3"/>
  <c r="J24" i="3"/>
  <c r="K24" i="3"/>
  <c r="L24" i="3"/>
  <c r="M24" i="3"/>
  <c r="N24" i="3"/>
  <c r="AR24" i="3" s="1"/>
  <c r="O24" i="3"/>
  <c r="P24" i="3"/>
  <c r="Q24" i="3"/>
  <c r="H25" i="3"/>
  <c r="I25" i="3"/>
  <c r="J25" i="3"/>
  <c r="K25" i="3"/>
  <c r="L25" i="3"/>
  <c r="M25" i="3"/>
  <c r="N25" i="3"/>
  <c r="AR25" i="3" s="1"/>
  <c r="O25" i="3"/>
  <c r="P25" i="3"/>
  <c r="Q25" i="3"/>
  <c r="K29" i="3"/>
  <c r="L29" i="3"/>
  <c r="M29" i="3"/>
  <c r="N29" i="3"/>
  <c r="AR29" i="3" s="1"/>
  <c r="O29" i="3"/>
  <c r="P29" i="3"/>
  <c r="Q29" i="3"/>
  <c r="H30" i="3"/>
  <c r="I30" i="3"/>
  <c r="J30" i="3"/>
  <c r="K30" i="3"/>
  <c r="L30" i="3"/>
  <c r="M30" i="3"/>
  <c r="N30" i="3"/>
  <c r="AR30" i="3" s="1"/>
  <c r="O30" i="3"/>
  <c r="P30" i="3"/>
  <c r="Q30" i="3"/>
  <c r="H33" i="3"/>
  <c r="I33" i="3"/>
  <c r="J33" i="3"/>
  <c r="K33" i="3"/>
  <c r="L33" i="3"/>
  <c r="M33" i="3"/>
  <c r="N33" i="3"/>
  <c r="AR33" i="3" s="1"/>
  <c r="O33" i="3"/>
  <c r="P33" i="3"/>
  <c r="Q33" i="3"/>
  <c r="H36" i="3"/>
  <c r="I36" i="3"/>
  <c r="J36" i="3"/>
  <c r="K36" i="3"/>
  <c r="L36" i="3"/>
  <c r="M36" i="3"/>
  <c r="N36" i="3"/>
  <c r="AR36" i="3" s="1"/>
  <c r="O36" i="3"/>
  <c r="P36" i="3"/>
  <c r="Q36" i="3"/>
  <c r="H37" i="3"/>
  <c r="I37" i="3"/>
  <c r="J37" i="3"/>
  <c r="K37" i="3"/>
  <c r="L37" i="3"/>
  <c r="M37" i="3"/>
  <c r="N37" i="3"/>
  <c r="AR37" i="3" s="1"/>
  <c r="O37" i="3"/>
  <c r="P37" i="3"/>
  <c r="Q37" i="3"/>
  <c r="H38" i="3"/>
  <c r="I38" i="3"/>
  <c r="J38" i="3"/>
  <c r="K38" i="3"/>
  <c r="L38" i="3"/>
  <c r="M38" i="3"/>
  <c r="N38" i="3"/>
  <c r="AR38" i="3" s="1"/>
  <c r="O38" i="3"/>
  <c r="P38" i="3"/>
  <c r="Q38" i="3"/>
  <c r="H40" i="3"/>
  <c r="I40" i="3"/>
  <c r="J40" i="3"/>
  <c r="K40" i="3"/>
  <c r="L40" i="3"/>
  <c r="M40" i="3"/>
  <c r="N40" i="3"/>
  <c r="AR40" i="3" s="1"/>
  <c r="O40" i="3"/>
  <c r="P40" i="3"/>
  <c r="Q40" i="3"/>
  <c r="H52" i="3"/>
  <c r="I52" i="3"/>
  <c r="J52" i="3"/>
  <c r="K52" i="3"/>
  <c r="L52" i="3"/>
  <c r="M52" i="3"/>
  <c r="N52" i="3"/>
  <c r="AR52" i="3" s="1"/>
  <c r="O52" i="3"/>
  <c r="P52" i="3"/>
  <c r="Q52" i="3"/>
  <c r="H53" i="3"/>
  <c r="I53" i="3"/>
  <c r="J53" i="3"/>
  <c r="K53" i="3"/>
  <c r="L53" i="3"/>
  <c r="M53" i="3"/>
  <c r="N53" i="3"/>
  <c r="AR53" i="3" s="1"/>
  <c r="O53" i="3"/>
  <c r="P53" i="3"/>
  <c r="Q53" i="3"/>
  <c r="H54" i="3"/>
  <c r="I54" i="3"/>
  <c r="J54" i="3"/>
  <c r="K54" i="3"/>
  <c r="L54" i="3"/>
  <c r="M54" i="3"/>
  <c r="N54" i="3"/>
  <c r="AR54" i="3" s="1"/>
  <c r="O54" i="3"/>
  <c r="P54" i="3"/>
  <c r="Q54" i="3"/>
  <c r="I55" i="3"/>
  <c r="J55" i="3"/>
  <c r="K55" i="3"/>
  <c r="L55" i="3"/>
  <c r="M55" i="3"/>
  <c r="N55" i="3"/>
  <c r="AR55" i="3" s="1"/>
  <c r="O55" i="3"/>
  <c r="P55" i="3"/>
  <c r="Q55" i="3"/>
  <c r="H62" i="3"/>
  <c r="I62" i="3"/>
  <c r="J62" i="3"/>
  <c r="K62" i="3"/>
  <c r="L62" i="3"/>
  <c r="M62" i="3"/>
  <c r="N62" i="3"/>
  <c r="AR62" i="3" s="1"/>
  <c r="O62" i="3"/>
  <c r="P62" i="3"/>
  <c r="Q62" i="3"/>
  <c r="H63" i="3"/>
  <c r="I63" i="3"/>
  <c r="J63" i="3"/>
  <c r="K63" i="3"/>
  <c r="L63" i="3"/>
  <c r="M63" i="3"/>
  <c r="N63" i="3"/>
  <c r="AR63" i="3" s="1"/>
  <c r="O63" i="3"/>
  <c r="P63" i="3"/>
  <c r="Q63" i="3"/>
  <c r="H64" i="3"/>
  <c r="I64" i="3"/>
  <c r="J64" i="3"/>
  <c r="K64" i="3"/>
  <c r="L64" i="3"/>
  <c r="M64" i="3"/>
  <c r="N64" i="3"/>
  <c r="AR64" i="3" s="1"/>
  <c r="O64" i="3"/>
  <c r="P64" i="3"/>
  <c r="Q64" i="3"/>
  <c r="H65" i="3"/>
  <c r="I65" i="3"/>
  <c r="J65" i="3"/>
  <c r="K65" i="3"/>
  <c r="L65" i="3"/>
  <c r="M65" i="3"/>
  <c r="N65" i="3"/>
  <c r="AR65" i="3" s="1"/>
  <c r="O65" i="3"/>
  <c r="P65" i="3"/>
  <c r="Q65" i="3"/>
  <c r="H66" i="3"/>
  <c r="I66" i="3"/>
  <c r="J66" i="3"/>
  <c r="K66" i="3"/>
  <c r="L66" i="3"/>
  <c r="M66" i="3"/>
  <c r="N66" i="3"/>
  <c r="AR66" i="3" s="1"/>
  <c r="BB66" i="3" s="1"/>
  <c r="O66" i="3"/>
  <c r="P66" i="3"/>
  <c r="Q66" i="3"/>
  <c r="H67" i="3"/>
  <c r="I67" i="3"/>
  <c r="J67" i="3"/>
  <c r="K67" i="3"/>
  <c r="L67" i="3"/>
  <c r="M67" i="3"/>
  <c r="N67" i="3"/>
  <c r="AR67" i="3" s="1"/>
  <c r="O67" i="3"/>
  <c r="P67" i="3"/>
  <c r="Q67" i="3"/>
  <c r="I7" i="3"/>
  <c r="J7" i="3"/>
  <c r="K7" i="3"/>
  <c r="L7" i="3"/>
  <c r="M7" i="3"/>
  <c r="N7" i="3"/>
  <c r="P7" i="3"/>
  <c r="Q7" i="3"/>
  <c r="H7" i="3"/>
  <c r="K64" i="6"/>
  <c r="I64" i="6"/>
  <c r="H64" i="6"/>
  <c r="F64" i="6"/>
  <c r="E64" i="6"/>
  <c r="D64" i="6"/>
  <c r="C64" i="6"/>
  <c r="K63" i="6"/>
  <c r="I63" i="6"/>
  <c r="H63" i="6"/>
  <c r="F63" i="6"/>
  <c r="E63" i="6"/>
  <c r="D63" i="6"/>
  <c r="C63" i="6"/>
  <c r="B63" i="6"/>
  <c r="K62" i="6"/>
  <c r="I62" i="6"/>
  <c r="H62" i="6"/>
  <c r="F62" i="6"/>
  <c r="E62" i="6"/>
  <c r="D62" i="6"/>
  <c r="C62" i="6"/>
  <c r="B62" i="6"/>
  <c r="K61" i="6"/>
  <c r="I61" i="6"/>
  <c r="H61" i="6"/>
  <c r="F61" i="6"/>
  <c r="E61" i="6"/>
  <c r="D61" i="6"/>
  <c r="C61" i="6"/>
  <c r="B61" i="6"/>
  <c r="K60" i="6"/>
  <c r="I60" i="6"/>
  <c r="H60" i="6"/>
  <c r="F60" i="6"/>
  <c r="E60" i="6"/>
  <c r="D60" i="6"/>
  <c r="C60" i="6"/>
  <c r="B60" i="6"/>
  <c r="I58" i="6"/>
  <c r="H58" i="6"/>
  <c r="F58" i="6"/>
  <c r="E58" i="6"/>
  <c r="D58" i="6"/>
  <c r="C58" i="6"/>
  <c r="B58" i="6"/>
  <c r="K57" i="6"/>
  <c r="I57" i="6"/>
  <c r="H57" i="6"/>
  <c r="F57" i="6"/>
  <c r="E57" i="6"/>
  <c r="D57" i="6"/>
  <c r="C57" i="6"/>
  <c r="B57" i="6"/>
  <c r="K56" i="6"/>
  <c r="I56" i="6"/>
  <c r="H56" i="6"/>
  <c r="F56" i="6"/>
  <c r="E56" i="6"/>
  <c r="D56" i="6"/>
  <c r="C56" i="6"/>
  <c r="B56" i="6"/>
  <c r="K55" i="6"/>
  <c r="I55" i="6"/>
  <c r="H55" i="6"/>
  <c r="F55" i="6"/>
  <c r="E55" i="6"/>
  <c r="D55" i="6"/>
  <c r="C55" i="6"/>
  <c r="B55" i="6"/>
  <c r="K54" i="6"/>
  <c r="I54" i="6"/>
  <c r="H54" i="6"/>
  <c r="F54" i="6"/>
  <c r="E54" i="6"/>
  <c r="D54" i="6"/>
  <c r="C54" i="6"/>
  <c r="B54" i="6"/>
  <c r="W16" i="6"/>
  <c r="U16" i="6"/>
  <c r="T16" i="6"/>
  <c r="P16" i="6"/>
  <c r="O16" i="6"/>
  <c r="N16" i="6"/>
  <c r="G16" i="6"/>
  <c r="E16" i="6" s="1"/>
  <c r="F16" i="6"/>
  <c r="W15" i="6"/>
  <c r="U15" i="6"/>
  <c r="T15" i="6"/>
  <c r="P15" i="6"/>
  <c r="O15" i="6"/>
  <c r="N15" i="6"/>
  <c r="G15" i="6"/>
  <c r="F15" i="6"/>
  <c r="W14" i="6"/>
  <c r="U14" i="6"/>
  <c r="T14" i="6"/>
  <c r="P14" i="6"/>
  <c r="O14" i="6"/>
  <c r="N14" i="6"/>
  <c r="G14" i="6"/>
  <c r="E14" i="6" s="1"/>
  <c r="F14" i="6"/>
  <c r="W13" i="6"/>
  <c r="U13" i="6"/>
  <c r="T13" i="6"/>
  <c r="P13" i="6"/>
  <c r="O13" i="6"/>
  <c r="N13" i="6"/>
  <c r="G13" i="6"/>
  <c r="F13" i="6"/>
  <c r="E13" i="6"/>
  <c r="W12" i="6"/>
  <c r="U12" i="6"/>
  <c r="T12" i="6"/>
  <c r="P12" i="6"/>
  <c r="O12" i="6"/>
  <c r="N12" i="6"/>
  <c r="G12" i="6"/>
  <c r="F12" i="6"/>
  <c r="E12" i="6"/>
  <c r="W8" i="6"/>
  <c r="U8" i="6"/>
  <c r="T8" i="6"/>
  <c r="P8" i="6"/>
  <c r="O8" i="6"/>
  <c r="G8" i="6"/>
  <c r="F8" i="6"/>
  <c r="E8" i="6"/>
  <c r="W7" i="6"/>
  <c r="U7" i="6"/>
  <c r="T7" i="6"/>
  <c r="P7" i="6"/>
  <c r="O7" i="6"/>
  <c r="N7" i="6"/>
  <c r="G7" i="6"/>
  <c r="F7" i="6"/>
  <c r="E7" i="6"/>
  <c r="W6" i="6"/>
  <c r="U6" i="6"/>
  <c r="T6" i="6"/>
  <c r="P6" i="6"/>
  <c r="O6" i="6"/>
  <c r="N6" i="6"/>
  <c r="G6" i="6"/>
  <c r="F6" i="6"/>
  <c r="E6" i="6"/>
  <c r="W5" i="6"/>
  <c r="U5" i="6"/>
  <c r="T5" i="6"/>
  <c r="P5" i="6"/>
  <c r="O5" i="6"/>
  <c r="N5" i="6"/>
  <c r="G5" i="6"/>
  <c r="F5" i="6"/>
  <c r="E5" i="6"/>
  <c r="W4" i="6"/>
  <c r="U4" i="6"/>
  <c r="T4" i="6"/>
  <c r="P4" i="6"/>
  <c r="O4" i="6"/>
  <c r="N4" i="6"/>
  <c r="G4" i="6"/>
  <c r="F4" i="6"/>
  <c r="R4" i="6" s="1"/>
  <c r="E4" i="6"/>
  <c r="Q4" i="6" s="1"/>
  <c r="N28" i="5"/>
  <c r="J28" i="5"/>
  <c r="I28" i="5"/>
  <c r="G28" i="5"/>
  <c r="E28" i="5"/>
  <c r="D28" i="5"/>
  <c r="O27" i="5"/>
  <c r="K24" i="5"/>
  <c r="F24" i="5"/>
  <c r="G14" i="5"/>
  <c r="C11" i="5"/>
  <c r="H59" i="9" s="1"/>
  <c r="I59" i="9" s="1"/>
  <c r="G10" i="5"/>
  <c r="G9" i="5"/>
  <c r="G7" i="5"/>
  <c r="C6" i="5"/>
  <c r="G5" i="5"/>
  <c r="G4" i="5"/>
  <c r="G3" i="5"/>
  <c r="AZ12" i="3" l="1"/>
  <c r="BB37" i="3"/>
  <c r="BB18" i="3"/>
  <c r="BB12" i="3"/>
  <c r="H58" i="9"/>
  <c r="BB67" i="3"/>
  <c r="BB55" i="3"/>
  <c r="BB38" i="3"/>
  <c r="BB19" i="3"/>
  <c r="BB13" i="3"/>
  <c r="BB29" i="3"/>
  <c r="BB52" i="3"/>
  <c r="BB30" i="3"/>
  <c r="BB15" i="3"/>
  <c r="BB9" i="3"/>
  <c r="BB53" i="3"/>
  <c r="BB33" i="3"/>
  <c r="BB16" i="3"/>
  <c r="BB10" i="3"/>
  <c r="BB40" i="3"/>
  <c r="BB22" i="3"/>
  <c r="BB14" i="3"/>
  <c r="BB63" i="3"/>
  <c r="K28" i="5"/>
  <c r="BC12" i="3" s="1"/>
  <c r="O24" i="5"/>
  <c r="BB65" i="3"/>
  <c r="BB62" i="3"/>
  <c r="BB8" i="3"/>
  <c r="BB64" i="3"/>
  <c r="BB54" i="3"/>
  <c r="BB36" i="3"/>
  <c r="BB11" i="3"/>
  <c r="AN25" i="3"/>
  <c r="AX25" i="3" s="1"/>
  <c r="AU22" i="3"/>
  <c r="BE22" i="3" s="1"/>
  <c r="AQ22" i="3"/>
  <c r="BA22" i="3" s="1"/>
  <c r="S12" i="6"/>
  <c r="BD12" i="3"/>
  <c r="AX12" i="3"/>
  <c r="AV12" i="3"/>
  <c r="AN22" i="3"/>
  <c r="AX22" i="3" s="1"/>
  <c r="AU24" i="3"/>
  <c r="BE24" i="3" s="1"/>
  <c r="AO23" i="3"/>
  <c r="AQ23" i="3"/>
  <c r="BA23" i="3" s="1"/>
  <c r="G11" i="5"/>
  <c r="S15" i="6"/>
  <c r="R9" i="3"/>
  <c r="AB9" i="3" s="1"/>
  <c r="AL9" i="3" s="1"/>
  <c r="AV9" i="3" s="1"/>
  <c r="BB25" i="3"/>
  <c r="BB24" i="3"/>
  <c r="BB23" i="3"/>
  <c r="BE12" i="3"/>
  <c r="BA12" i="3"/>
  <c r="AW12" i="3"/>
  <c r="AM22" i="3"/>
  <c r="AW22" i="3" s="1"/>
  <c r="AU25" i="3"/>
  <c r="BE25" i="3" s="1"/>
  <c r="AU23" i="3"/>
  <c r="BE23" i="3" s="1"/>
  <c r="AL25" i="3"/>
  <c r="AV25" i="3" s="1"/>
  <c r="AS25" i="3"/>
  <c r="AS23" i="3"/>
  <c r="M60" i="9"/>
  <c r="M59" i="9"/>
  <c r="AQ25" i="3"/>
  <c r="BA25" i="3" s="1"/>
  <c r="AM25" i="3"/>
  <c r="AW25" i="3" s="1"/>
  <c r="AM24" i="3"/>
  <c r="AW24" i="3" s="1"/>
  <c r="AL22" i="3"/>
  <c r="AV22" i="3" s="1"/>
  <c r="AQ24" i="3"/>
  <c r="BA24" i="3" s="1"/>
  <c r="AN24" i="3"/>
  <c r="AX24" i="3" s="1"/>
  <c r="AM23" i="3"/>
  <c r="AW23" i="3" s="1"/>
  <c r="AS22" i="3"/>
  <c r="AN23" i="3"/>
  <c r="AX23" i="3" s="1"/>
  <c r="AL23" i="3"/>
  <c r="AV23" i="3" s="1"/>
  <c r="AS24" i="3"/>
  <c r="BC24" i="3" s="1"/>
  <c r="AT25" i="3"/>
  <c r="BD25" i="3" s="1"/>
  <c r="AO24" i="3"/>
  <c r="AP23" i="3"/>
  <c r="AZ23" i="3" s="1"/>
  <c r="AT22" i="3"/>
  <c r="BD22" i="3" s="1"/>
  <c r="AL24" i="3"/>
  <c r="AV24" i="3" s="1"/>
  <c r="AP24" i="3"/>
  <c r="AZ24" i="3" s="1"/>
  <c r="AO25" i="3"/>
  <c r="AP25" i="3"/>
  <c r="AZ25" i="3" s="1"/>
  <c r="AT23" i="3"/>
  <c r="BD23" i="3" s="1"/>
  <c r="AT24" i="3"/>
  <c r="BD24" i="3" s="1"/>
  <c r="AO22" i="3"/>
  <c r="AP22" i="3"/>
  <c r="AZ22" i="3" s="1"/>
  <c r="S14" i="6"/>
  <c r="R14" i="3"/>
  <c r="AB14" i="3" s="1"/>
  <c r="AL14" i="3" s="1"/>
  <c r="AV14" i="3" s="1"/>
  <c r="S16" i="6"/>
  <c r="AD55" i="3"/>
  <c r="AN55" i="3" s="1"/>
  <c r="AX55" i="3" s="1"/>
  <c r="T54" i="3"/>
  <c r="AD54" i="3" s="1"/>
  <c r="AN54" i="3" s="1"/>
  <c r="AX54" i="3" s="1"/>
  <c r="S53" i="3"/>
  <c r="AC53" i="3" s="1"/>
  <c r="AM53" i="3" s="1"/>
  <c r="AW53" i="3" s="1"/>
  <c r="S52" i="3"/>
  <c r="AC52" i="3" s="1"/>
  <c r="AM52" i="3" s="1"/>
  <c r="AW52" i="3" s="1"/>
  <c r="AC55" i="3"/>
  <c r="AM55" i="3" s="1"/>
  <c r="AW55" i="3" s="1"/>
  <c r="T53" i="3"/>
  <c r="AD53" i="3" s="1"/>
  <c r="AN53" i="3" s="1"/>
  <c r="AX53" i="3" s="1"/>
  <c r="S54" i="3"/>
  <c r="AC54" i="3" s="1"/>
  <c r="AM54" i="3" s="1"/>
  <c r="AW54" i="3" s="1"/>
  <c r="T52" i="3"/>
  <c r="AD52" i="3" s="1"/>
  <c r="AN52" i="3" s="1"/>
  <c r="AX52" i="3" s="1"/>
  <c r="AA52" i="3"/>
  <c r="AK52" i="3" s="1"/>
  <c r="AU52" i="3" s="1"/>
  <c r="BE52" i="3" s="1"/>
  <c r="AK55" i="3"/>
  <c r="AU55" i="3" s="1"/>
  <c r="BE55" i="3" s="1"/>
  <c r="AA54" i="3"/>
  <c r="AK54" i="3" s="1"/>
  <c r="AU54" i="3" s="1"/>
  <c r="BE54" i="3" s="1"/>
  <c r="AA53" i="3"/>
  <c r="AK53" i="3" s="1"/>
  <c r="AU53" i="3" s="1"/>
  <c r="BE53" i="3" s="1"/>
  <c r="Q8" i="6"/>
  <c r="U53" i="3"/>
  <c r="AE53" i="3" s="1"/>
  <c r="AO53" i="3" s="1"/>
  <c r="AE55" i="3"/>
  <c r="AO55" i="3" s="1"/>
  <c r="R53" i="3"/>
  <c r="AB53" i="3" s="1"/>
  <c r="AL53" i="3" s="1"/>
  <c r="AV53" i="3" s="1"/>
  <c r="AB52" i="3"/>
  <c r="AL52" i="3" s="1"/>
  <c r="AV52" i="3" s="1"/>
  <c r="R54" i="3"/>
  <c r="AB54" i="3" s="1"/>
  <c r="AL54" i="3" s="1"/>
  <c r="AV54" i="3" s="1"/>
  <c r="AB55" i="3"/>
  <c r="AL55" i="3" s="1"/>
  <c r="AV55" i="3" s="1"/>
  <c r="U54" i="3"/>
  <c r="AE54" i="3" s="1"/>
  <c r="AO54" i="3" s="1"/>
  <c r="U52" i="3"/>
  <c r="AE52" i="3" s="1"/>
  <c r="AO52" i="3" s="1"/>
  <c r="S36" i="3"/>
  <c r="AC36" i="3" s="1"/>
  <c r="AM36" i="3" s="1"/>
  <c r="AW36" i="3" s="1"/>
  <c r="S33" i="3"/>
  <c r="AC33" i="3" s="1"/>
  <c r="AM33" i="3" s="1"/>
  <c r="AW33" i="3" s="1"/>
  <c r="T33" i="3"/>
  <c r="AD33" i="3" s="1"/>
  <c r="AN33" i="3" s="1"/>
  <c r="AX33" i="3" s="1"/>
  <c r="T36" i="3"/>
  <c r="AD36" i="3" s="1"/>
  <c r="AN36" i="3" s="1"/>
  <c r="AX36" i="3" s="1"/>
  <c r="AA33" i="3"/>
  <c r="AK33" i="3" s="1"/>
  <c r="AU33" i="3" s="1"/>
  <c r="BE33" i="3" s="1"/>
  <c r="AA36" i="3"/>
  <c r="AK36" i="3" s="1"/>
  <c r="AU36" i="3" s="1"/>
  <c r="BE36" i="3" s="1"/>
  <c r="T13" i="3"/>
  <c r="AD13" i="3" s="1"/>
  <c r="AN13" i="3" s="1"/>
  <c r="AX13" i="3" s="1"/>
  <c r="S18" i="3"/>
  <c r="AC18" i="3" s="1"/>
  <c r="AM18" i="3" s="1"/>
  <c r="AW18" i="3" s="1"/>
  <c r="T16" i="3"/>
  <c r="AD16" i="3" s="1"/>
  <c r="AN16" i="3" s="1"/>
  <c r="AX16" i="3" s="1"/>
  <c r="T8" i="3"/>
  <c r="AD8" i="3" s="1"/>
  <c r="AN8" i="3" s="1"/>
  <c r="AX8" i="3" s="1"/>
  <c r="S14" i="3"/>
  <c r="AC14" i="3" s="1"/>
  <c r="AM14" i="3" s="1"/>
  <c r="AW14" i="3" s="1"/>
  <c r="T9" i="3"/>
  <c r="AD9" i="3" s="1"/>
  <c r="AN9" i="3" s="1"/>
  <c r="AX9" i="3" s="1"/>
  <c r="S10" i="3"/>
  <c r="AC10" i="3" s="1"/>
  <c r="AM10" i="3" s="1"/>
  <c r="AW10" i="3" s="1"/>
  <c r="T18" i="3"/>
  <c r="AD18" i="3" s="1"/>
  <c r="AN18" i="3" s="1"/>
  <c r="AX18" i="3" s="1"/>
  <c r="S8" i="3"/>
  <c r="S17" i="3"/>
  <c r="AC17" i="3" s="1"/>
  <c r="AM17" i="3" s="1"/>
  <c r="T10" i="3"/>
  <c r="AD10" i="3" s="1"/>
  <c r="AN10" i="3" s="1"/>
  <c r="AX10" i="3" s="1"/>
  <c r="S16" i="3"/>
  <c r="AC16" i="3" s="1"/>
  <c r="AM16" i="3" s="1"/>
  <c r="AW16" i="3" s="1"/>
  <c r="T11" i="3"/>
  <c r="AD11" i="3" s="1"/>
  <c r="AN11" i="3" s="1"/>
  <c r="AX11" i="3" s="1"/>
  <c r="S9" i="3"/>
  <c r="S13" i="3"/>
  <c r="AC13" i="3" s="1"/>
  <c r="AM13" i="3" s="1"/>
  <c r="AW13" i="3" s="1"/>
  <c r="T14" i="3"/>
  <c r="AD14" i="3" s="1"/>
  <c r="AN14" i="3" s="1"/>
  <c r="AX14" i="3" s="1"/>
  <c r="S19" i="3"/>
  <c r="AC19" i="3" s="1"/>
  <c r="AM19" i="3" s="1"/>
  <c r="AW19" i="3" s="1"/>
  <c r="S11" i="3"/>
  <c r="AC11" i="3" s="1"/>
  <c r="AM11" i="3" s="1"/>
  <c r="AW11" i="3" s="1"/>
  <c r="T19" i="3"/>
  <c r="AD19" i="3" s="1"/>
  <c r="AN19" i="3" s="1"/>
  <c r="AX19" i="3" s="1"/>
  <c r="T17" i="3"/>
  <c r="AD17" i="3" s="1"/>
  <c r="AN17" i="3" s="1"/>
  <c r="S15" i="3"/>
  <c r="AC15" i="3" s="1"/>
  <c r="AM15" i="3" s="1"/>
  <c r="AW15" i="3" s="1"/>
  <c r="T15" i="3"/>
  <c r="AD15" i="3" s="1"/>
  <c r="AN15" i="3" s="1"/>
  <c r="AX15" i="3" s="1"/>
  <c r="Y52" i="3"/>
  <c r="AI52" i="3" s="1"/>
  <c r="AS52" i="3" s="1"/>
  <c r="AI55" i="3"/>
  <c r="AS55" i="3" s="1"/>
  <c r="W52" i="3"/>
  <c r="AG52" i="3" s="1"/>
  <c r="AQ52" i="3" s="1"/>
  <c r="BA52" i="3" s="1"/>
  <c r="Y53" i="3"/>
  <c r="AI53" i="3" s="1"/>
  <c r="AS53" i="3" s="1"/>
  <c r="AG55" i="3"/>
  <c r="AQ55" i="3" s="1"/>
  <c r="BA55" i="3" s="1"/>
  <c r="Y54" i="3"/>
  <c r="AI54" i="3" s="1"/>
  <c r="AS54" i="3" s="1"/>
  <c r="W54" i="3"/>
  <c r="AG54" i="3" s="1"/>
  <c r="AQ54" i="3" s="1"/>
  <c r="BA54" i="3" s="1"/>
  <c r="W53" i="3"/>
  <c r="AG53" i="3" s="1"/>
  <c r="AQ53" i="3" s="1"/>
  <c r="BA53" i="3" s="1"/>
  <c r="T29" i="3"/>
  <c r="AD29" i="3" s="1"/>
  <c r="AN29" i="3" s="1"/>
  <c r="AX29" i="3" s="1"/>
  <c r="T64" i="3"/>
  <c r="AD64" i="3" s="1"/>
  <c r="AN64" i="3" s="1"/>
  <c r="AX64" i="3" s="1"/>
  <c r="T63" i="3"/>
  <c r="AD63" i="3" s="1"/>
  <c r="AN63" i="3" s="1"/>
  <c r="AX63" i="3" s="1"/>
  <c r="S62" i="3"/>
  <c r="AC62" i="3" s="1"/>
  <c r="AM62" i="3" s="1"/>
  <c r="AW62" i="3" s="1"/>
  <c r="S29" i="3"/>
  <c r="AC29" i="3" s="1"/>
  <c r="AM29" i="3" s="1"/>
  <c r="AW29" i="3" s="1"/>
  <c r="S64" i="3"/>
  <c r="AC64" i="3" s="1"/>
  <c r="AM64" i="3" s="1"/>
  <c r="AW64" i="3" s="1"/>
  <c r="S30" i="3"/>
  <c r="AC30" i="3" s="1"/>
  <c r="AM30" i="3" s="1"/>
  <c r="AW30" i="3" s="1"/>
  <c r="S63" i="3"/>
  <c r="AC63" i="3" s="1"/>
  <c r="AM63" i="3" s="1"/>
  <c r="AW63" i="3" s="1"/>
  <c r="T30" i="3"/>
  <c r="AD30" i="3" s="1"/>
  <c r="AN30" i="3" s="1"/>
  <c r="AX30" i="3" s="1"/>
  <c r="T62" i="3"/>
  <c r="AD62" i="3" s="1"/>
  <c r="AN62" i="3" s="1"/>
  <c r="AX62" i="3" s="1"/>
  <c r="AA40" i="3"/>
  <c r="AK40" i="3" s="1"/>
  <c r="AU40" i="3" s="1"/>
  <c r="BE40" i="3" s="1"/>
  <c r="AA37" i="3"/>
  <c r="AK37" i="3" s="1"/>
  <c r="AU37" i="3" s="1"/>
  <c r="BE37" i="3" s="1"/>
  <c r="AA67" i="3"/>
  <c r="AK67" i="3" s="1"/>
  <c r="AU67" i="3" s="1"/>
  <c r="BE67" i="3" s="1"/>
  <c r="AA38" i="3"/>
  <c r="AK38" i="3" s="1"/>
  <c r="AU38" i="3" s="1"/>
  <c r="BE38" i="3" s="1"/>
  <c r="AA65" i="3"/>
  <c r="AK65" i="3" s="1"/>
  <c r="AU65" i="3" s="1"/>
  <c r="BE65" i="3" s="1"/>
  <c r="AA66" i="3"/>
  <c r="AK66" i="3" s="1"/>
  <c r="AU66" i="3" s="1"/>
  <c r="BE66" i="3" s="1"/>
  <c r="V53" i="3"/>
  <c r="AF53" i="3" s="1"/>
  <c r="AP53" i="3" s="1"/>
  <c r="AZ53" i="3" s="1"/>
  <c r="V54" i="3"/>
  <c r="AF54" i="3" s="1"/>
  <c r="AP54" i="3" s="1"/>
  <c r="AZ54" i="3" s="1"/>
  <c r="AF55" i="3"/>
  <c r="AP55" i="3" s="1"/>
  <c r="AZ55" i="3" s="1"/>
  <c r="V52" i="3"/>
  <c r="AF52" i="3" s="1"/>
  <c r="AP52" i="3" s="1"/>
  <c r="AZ52" i="3" s="1"/>
  <c r="AL8" i="3"/>
  <c r="AV8" i="3" s="1"/>
  <c r="U10" i="3"/>
  <c r="AE10" i="3" s="1"/>
  <c r="AO10" i="3" s="1"/>
  <c r="U19" i="3"/>
  <c r="AE19" i="3" s="1"/>
  <c r="AO19" i="3" s="1"/>
  <c r="U11" i="3"/>
  <c r="AE11" i="3" s="1"/>
  <c r="AO11" i="3" s="1"/>
  <c r="U17" i="3"/>
  <c r="AE17" i="3" s="1"/>
  <c r="AO17" i="3" s="1"/>
  <c r="U13" i="3"/>
  <c r="AE13" i="3" s="1"/>
  <c r="AO13" i="3" s="1"/>
  <c r="U16" i="3"/>
  <c r="AE16" i="3" s="1"/>
  <c r="AO16" i="3" s="1"/>
  <c r="U15" i="3"/>
  <c r="AE15" i="3" s="1"/>
  <c r="AO15" i="3" s="1"/>
  <c r="U18" i="3"/>
  <c r="AE18" i="3" s="1"/>
  <c r="AO18" i="3" s="1"/>
  <c r="U9" i="3"/>
  <c r="AE9" i="3" s="1"/>
  <c r="AO9" i="3" s="1"/>
  <c r="U8" i="3"/>
  <c r="AE8" i="3" s="1"/>
  <c r="AO8" i="3" s="1"/>
  <c r="U14" i="3"/>
  <c r="AE14" i="3" s="1"/>
  <c r="AO14" i="3" s="1"/>
  <c r="V36" i="3"/>
  <c r="AF36" i="3" s="1"/>
  <c r="AP36" i="3" s="1"/>
  <c r="AZ36" i="3" s="1"/>
  <c r="V33" i="3"/>
  <c r="AF33" i="3" s="1"/>
  <c r="AP33" i="3" s="1"/>
  <c r="AZ33" i="3" s="1"/>
  <c r="V38" i="3"/>
  <c r="AF38" i="3" s="1"/>
  <c r="AP38" i="3" s="1"/>
  <c r="AZ38" i="3" s="1"/>
  <c r="V67" i="3"/>
  <c r="AF67" i="3" s="1"/>
  <c r="AP67" i="3" s="1"/>
  <c r="AZ67" i="3" s="1"/>
  <c r="V65" i="3"/>
  <c r="AF65" i="3" s="1"/>
  <c r="AP65" i="3" s="1"/>
  <c r="AZ65" i="3" s="1"/>
  <c r="V66" i="3"/>
  <c r="AF66" i="3" s="1"/>
  <c r="AP66" i="3" s="1"/>
  <c r="AZ66" i="3" s="1"/>
  <c r="V37" i="3"/>
  <c r="AF37" i="3" s="1"/>
  <c r="AP37" i="3" s="1"/>
  <c r="AZ37" i="3" s="1"/>
  <c r="V40" i="3"/>
  <c r="AF40" i="3" s="1"/>
  <c r="AP40" i="3" s="1"/>
  <c r="AZ40" i="3" s="1"/>
  <c r="R63" i="3"/>
  <c r="AB63" i="3" s="1"/>
  <c r="AL63" i="3" s="1"/>
  <c r="AV63" i="3" s="1"/>
  <c r="R30" i="3"/>
  <c r="AB30" i="3" s="1"/>
  <c r="AL30" i="3" s="1"/>
  <c r="AV30" i="3" s="1"/>
  <c r="U63" i="3"/>
  <c r="AE63" i="3" s="1"/>
  <c r="AO63" i="3" s="1"/>
  <c r="U29" i="3"/>
  <c r="AE29" i="3" s="1"/>
  <c r="AO29" i="3" s="1"/>
  <c r="R62" i="3"/>
  <c r="AB62" i="3" s="1"/>
  <c r="AL62" i="3" s="1"/>
  <c r="AV62" i="3" s="1"/>
  <c r="R64" i="3"/>
  <c r="AB64" i="3" s="1"/>
  <c r="AL64" i="3" s="1"/>
  <c r="AV64" i="3" s="1"/>
  <c r="U64" i="3"/>
  <c r="AE64" i="3" s="1"/>
  <c r="AO64" i="3" s="1"/>
  <c r="AB29" i="3"/>
  <c r="AL29" i="3" s="1"/>
  <c r="AV29" i="3" s="1"/>
  <c r="U30" i="3"/>
  <c r="AE30" i="3" s="1"/>
  <c r="AO30" i="3" s="1"/>
  <c r="U62" i="3"/>
  <c r="AE62" i="3" s="1"/>
  <c r="AO62" i="3" s="1"/>
  <c r="R13" i="3"/>
  <c r="AB13" i="3" s="1"/>
  <c r="AL13" i="3" s="1"/>
  <c r="Z29" i="3"/>
  <c r="AJ29" i="3" s="1"/>
  <c r="AT29" i="3" s="1"/>
  <c r="BD29" i="3" s="1"/>
  <c r="Z64" i="3"/>
  <c r="AJ64" i="3" s="1"/>
  <c r="AT64" i="3" s="1"/>
  <c r="BD64" i="3" s="1"/>
  <c r="Z30" i="3"/>
  <c r="AJ30" i="3" s="1"/>
  <c r="AT30" i="3" s="1"/>
  <c r="BD30" i="3" s="1"/>
  <c r="Z62" i="3"/>
  <c r="AJ62" i="3" s="1"/>
  <c r="AT62" i="3" s="1"/>
  <c r="BD62" i="3" s="1"/>
  <c r="Z63" i="3"/>
  <c r="AJ63" i="3" s="1"/>
  <c r="AT63" i="3" s="1"/>
  <c r="BD63" i="3" s="1"/>
  <c r="U38" i="3"/>
  <c r="AE38" i="3" s="1"/>
  <c r="AO38" i="3" s="1"/>
  <c r="R65" i="3"/>
  <c r="U67" i="3"/>
  <c r="AE67" i="3" s="1"/>
  <c r="AO67" i="3" s="1"/>
  <c r="R38" i="3"/>
  <c r="AB38" i="3" s="1"/>
  <c r="AL38" i="3" s="1"/>
  <c r="AV38" i="3" s="1"/>
  <c r="U65" i="3"/>
  <c r="AE65" i="3" s="1"/>
  <c r="AO65" i="3" s="1"/>
  <c r="U66" i="3"/>
  <c r="AE66" i="3" s="1"/>
  <c r="AO66" i="3" s="1"/>
  <c r="U37" i="3"/>
  <c r="AE37" i="3" s="1"/>
  <c r="AO37" i="3" s="1"/>
  <c r="R37" i="3"/>
  <c r="AB37" i="3" s="1"/>
  <c r="AL37" i="3" s="1"/>
  <c r="AV37" i="3" s="1"/>
  <c r="U40" i="3"/>
  <c r="AE40" i="3" s="1"/>
  <c r="AO40" i="3" s="1"/>
  <c r="R40" i="3"/>
  <c r="AB40" i="3" s="1"/>
  <c r="AL40" i="3" s="1"/>
  <c r="AV40" i="3" s="1"/>
  <c r="R67" i="3"/>
  <c r="AB67" i="3" s="1"/>
  <c r="AL67" i="3" s="1"/>
  <c r="AV67" i="3" s="1"/>
  <c r="R66" i="3"/>
  <c r="AB66" i="3" s="1"/>
  <c r="AL66" i="3" s="1"/>
  <c r="AV66" i="3" s="1"/>
  <c r="S13" i="6"/>
  <c r="Q16" i="6"/>
  <c r="W33" i="3"/>
  <c r="AG33" i="3" s="1"/>
  <c r="AQ33" i="3" s="1"/>
  <c r="BA33" i="3" s="1"/>
  <c r="Y33" i="3"/>
  <c r="AI33" i="3" s="1"/>
  <c r="AS33" i="3" s="1"/>
  <c r="BC33" i="3" s="1"/>
  <c r="W36" i="3"/>
  <c r="AG36" i="3" s="1"/>
  <c r="AQ36" i="3" s="1"/>
  <c r="BA36" i="3" s="1"/>
  <c r="Y36" i="3"/>
  <c r="AI36" i="3" s="1"/>
  <c r="AS36" i="3" s="1"/>
  <c r="Y37" i="3"/>
  <c r="AI37" i="3" s="1"/>
  <c r="AS37" i="3" s="1"/>
  <c r="Y67" i="3"/>
  <c r="AI67" i="3" s="1"/>
  <c r="AS67" i="3" s="1"/>
  <c r="W66" i="3"/>
  <c r="AG66" i="3" s="1"/>
  <c r="AQ66" i="3" s="1"/>
  <c r="BA66" i="3" s="1"/>
  <c r="Y40" i="3"/>
  <c r="AI40" i="3" s="1"/>
  <c r="AS40" i="3" s="1"/>
  <c r="W40" i="3"/>
  <c r="AG40" i="3" s="1"/>
  <c r="AQ40" i="3" s="1"/>
  <c r="BA40" i="3" s="1"/>
  <c r="W37" i="3"/>
  <c r="AG37" i="3" s="1"/>
  <c r="AQ37" i="3" s="1"/>
  <c r="BA37" i="3" s="1"/>
  <c r="W38" i="3"/>
  <c r="AG38" i="3" s="1"/>
  <c r="AQ38" i="3" s="1"/>
  <c r="BA38" i="3" s="1"/>
  <c r="Y38" i="3"/>
  <c r="AI38" i="3" s="1"/>
  <c r="AS38" i="3" s="1"/>
  <c r="Y65" i="3"/>
  <c r="AI65" i="3" s="1"/>
  <c r="AS65" i="3" s="1"/>
  <c r="W65" i="3"/>
  <c r="AG65" i="3" s="1"/>
  <c r="AQ65" i="3" s="1"/>
  <c r="BA65" i="3" s="1"/>
  <c r="Y66" i="3"/>
  <c r="AI66" i="3" s="1"/>
  <c r="AS66" i="3" s="1"/>
  <c r="W67" i="3"/>
  <c r="AG67" i="3" s="1"/>
  <c r="AQ67" i="3" s="1"/>
  <c r="BA67" i="3" s="1"/>
  <c r="R11" i="3"/>
  <c r="AB11" i="3" s="1"/>
  <c r="AL11" i="3" s="1"/>
  <c r="AV11" i="3" s="1"/>
  <c r="Z18" i="3"/>
  <c r="AJ18" i="3" s="1"/>
  <c r="AT18" i="3" s="1"/>
  <c r="BD18" i="3" s="1"/>
  <c r="Z8" i="3"/>
  <c r="AJ8" i="3" s="1"/>
  <c r="AT8" i="3" s="1"/>
  <c r="BD8" i="3" s="1"/>
  <c r="Z9" i="3"/>
  <c r="AJ9" i="3" s="1"/>
  <c r="AT9" i="3" s="1"/>
  <c r="BD9" i="3" s="1"/>
  <c r="Z13" i="3"/>
  <c r="AJ13" i="3" s="1"/>
  <c r="AT13" i="3" s="1"/>
  <c r="BD13" i="3" s="1"/>
  <c r="Z16" i="3"/>
  <c r="AJ16" i="3" s="1"/>
  <c r="AT16" i="3" s="1"/>
  <c r="BD16" i="3" s="1"/>
  <c r="Z19" i="3"/>
  <c r="AJ19" i="3" s="1"/>
  <c r="AT19" i="3" s="1"/>
  <c r="BD19" i="3" s="1"/>
  <c r="Z11" i="3"/>
  <c r="AJ11" i="3" s="1"/>
  <c r="AT11" i="3" s="1"/>
  <c r="BD11" i="3" s="1"/>
  <c r="Z10" i="3"/>
  <c r="AJ10" i="3" s="1"/>
  <c r="AT10" i="3" s="1"/>
  <c r="BD10" i="3" s="1"/>
  <c r="Z14" i="3"/>
  <c r="AJ14" i="3" s="1"/>
  <c r="AT14" i="3" s="1"/>
  <c r="BD14" i="3" s="1"/>
  <c r="Z17" i="3"/>
  <c r="AJ17" i="3" s="1"/>
  <c r="AT17" i="3" s="1"/>
  <c r="Z15" i="3"/>
  <c r="AJ15" i="3" s="1"/>
  <c r="AT15" i="3" s="1"/>
  <c r="BD15" i="3" s="1"/>
  <c r="R33" i="3"/>
  <c r="R36" i="3"/>
  <c r="AB36" i="3" s="1"/>
  <c r="AL36" i="3" s="1"/>
  <c r="AV36" i="3" s="1"/>
  <c r="U36" i="3"/>
  <c r="AE36" i="3" s="1"/>
  <c r="AO36" i="3" s="1"/>
  <c r="U33" i="3"/>
  <c r="AE33" i="3" s="1"/>
  <c r="AO33" i="3" s="1"/>
  <c r="AA8" i="3"/>
  <c r="AA15" i="3"/>
  <c r="AK15" i="3" s="1"/>
  <c r="AU15" i="3" s="1"/>
  <c r="BE15" i="3" s="1"/>
  <c r="AA9" i="3"/>
  <c r="AK9" i="3" s="1"/>
  <c r="AU9" i="3" s="1"/>
  <c r="BE9" i="3" s="1"/>
  <c r="AA13" i="3"/>
  <c r="AK13" i="3" s="1"/>
  <c r="AU13" i="3" s="1"/>
  <c r="BE13" i="3" s="1"/>
  <c r="AA16" i="3"/>
  <c r="AK16" i="3" s="1"/>
  <c r="AU16" i="3" s="1"/>
  <c r="BE16" i="3" s="1"/>
  <c r="AA19" i="3"/>
  <c r="AK19" i="3" s="1"/>
  <c r="AU19" i="3" s="1"/>
  <c r="BE19" i="3" s="1"/>
  <c r="AA11" i="3"/>
  <c r="AK11" i="3" s="1"/>
  <c r="AU11" i="3" s="1"/>
  <c r="BE11" i="3" s="1"/>
  <c r="AA10" i="3"/>
  <c r="AK10" i="3" s="1"/>
  <c r="AU10" i="3" s="1"/>
  <c r="BE10" i="3" s="1"/>
  <c r="AA14" i="3"/>
  <c r="AK14" i="3" s="1"/>
  <c r="AU14" i="3" s="1"/>
  <c r="BE14" i="3" s="1"/>
  <c r="AA17" i="3"/>
  <c r="AK17" i="3" s="1"/>
  <c r="AU17" i="3" s="1"/>
  <c r="AA18" i="3"/>
  <c r="AK18" i="3" s="1"/>
  <c r="AU18" i="3" s="1"/>
  <c r="BE18" i="3" s="1"/>
  <c r="Z52" i="3"/>
  <c r="AJ52" i="3" s="1"/>
  <c r="AT52" i="3" s="1"/>
  <c r="BD52" i="3" s="1"/>
  <c r="AJ55" i="3"/>
  <c r="AT55" i="3" s="1"/>
  <c r="BD55" i="3" s="1"/>
  <c r="Z54" i="3"/>
  <c r="AJ54" i="3" s="1"/>
  <c r="AT54" i="3" s="1"/>
  <c r="BD54" i="3" s="1"/>
  <c r="Z53" i="3"/>
  <c r="AJ53" i="3" s="1"/>
  <c r="AT53" i="3" s="1"/>
  <c r="BD53" i="3" s="1"/>
  <c r="AA63" i="3"/>
  <c r="AK63" i="3" s="1"/>
  <c r="AU63" i="3" s="1"/>
  <c r="BE63" i="3" s="1"/>
  <c r="AA29" i="3"/>
  <c r="AK29" i="3" s="1"/>
  <c r="AU29" i="3" s="1"/>
  <c r="BE29" i="3" s="1"/>
  <c r="AA64" i="3"/>
  <c r="AK64" i="3" s="1"/>
  <c r="AU64" i="3" s="1"/>
  <c r="BE64" i="3" s="1"/>
  <c r="AA30" i="3"/>
  <c r="AK30" i="3" s="1"/>
  <c r="AU30" i="3" s="1"/>
  <c r="BE30" i="3" s="1"/>
  <c r="AA62" i="3"/>
  <c r="AK62" i="3" s="1"/>
  <c r="AU62" i="3" s="1"/>
  <c r="BE62" i="3" s="1"/>
  <c r="S6" i="6"/>
  <c r="Z36" i="3"/>
  <c r="AJ36" i="3" s="1"/>
  <c r="AT36" i="3" s="1"/>
  <c r="BD36" i="3" s="1"/>
  <c r="Z33" i="3"/>
  <c r="AJ33" i="3" s="1"/>
  <c r="AT33" i="3" s="1"/>
  <c r="BD33" i="3" s="1"/>
  <c r="Z40" i="3"/>
  <c r="AJ40" i="3" s="1"/>
  <c r="AT40" i="3" s="1"/>
  <c r="BD40" i="3" s="1"/>
  <c r="Z37" i="3"/>
  <c r="AJ37" i="3" s="1"/>
  <c r="AT37" i="3" s="1"/>
  <c r="BD37" i="3" s="1"/>
  <c r="Z67" i="3"/>
  <c r="AJ67" i="3" s="1"/>
  <c r="AT67" i="3" s="1"/>
  <c r="BD67" i="3" s="1"/>
  <c r="Z66" i="3"/>
  <c r="AJ66" i="3" s="1"/>
  <c r="AT66" i="3" s="1"/>
  <c r="BD66" i="3" s="1"/>
  <c r="Z38" i="3"/>
  <c r="AJ38" i="3" s="1"/>
  <c r="AT38" i="3" s="1"/>
  <c r="BD38" i="3" s="1"/>
  <c r="Z65" i="3"/>
  <c r="AJ65" i="3" s="1"/>
  <c r="AT65" i="3" s="1"/>
  <c r="BD65" i="3" s="1"/>
  <c r="R10" i="3"/>
  <c r="AB10" i="3" s="1"/>
  <c r="AL10" i="3" s="1"/>
  <c r="AV10" i="3" s="1"/>
  <c r="Y9" i="3"/>
  <c r="AI9" i="3" s="1"/>
  <c r="AS9" i="3" s="1"/>
  <c r="Y13" i="3"/>
  <c r="AI13" i="3" s="1"/>
  <c r="AS13" i="3" s="1"/>
  <c r="Y16" i="3"/>
  <c r="AI16" i="3" s="1"/>
  <c r="AS16" i="3" s="1"/>
  <c r="Y19" i="3"/>
  <c r="AI19" i="3" s="1"/>
  <c r="AS19" i="3" s="1"/>
  <c r="W9" i="3"/>
  <c r="AG9" i="3" s="1"/>
  <c r="AQ9" i="3" s="1"/>
  <c r="BA9" i="3" s="1"/>
  <c r="W8" i="3"/>
  <c r="AG8" i="3" s="1"/>
  <c r="AQ8" i="3" s="1"/>
  <c r="BA8" i="3" s="1"/>
  <c r="AI8" i="3"/>
  <c r="AS8" i="3" s="1"/>
  <c r="W11" i="3"/>
  <c r="AG11" i="3" s="1"/>
  <c r="AQ11" i="3" s="1"/>
  <c r="BA11" i="3" s="1"/>
  <c r="W15" i="3"/>
  <c r="AG15" i="3" s="1"/>
  <c r="AQ15" i="3" s="1"/>
  <c r="BA15" i="3" s="1"/>
  <c r="Y17" i="3"/>
  <c r="AI17" i="3" s="1"/>
  <c r="AS17" i="3" s="1"/>
  <c r="Y18" i="3"/>
  <c r="AI18" i="3" s="1"/>
  <c r="AS18" i="3" s="1"/>
  <c r="W14" i="3"/>
  <c r="AG14" i="3" s="1"/>
  <c r="AQ14" i="3" s="1"/>
  <c r="BA14" i="3" s="1"/>
  <c r="W13" i="3"/>
  <c r="AG13" i="3" s="1"/>
  <c r="AQ13" i="3" s="1"/>
  <c r="BA13" i="3" s="1"/>
  <c r="Y10" i="3"/>
  <c r="AI10" i="3" s="1"/>
  <c r="AS10" i="3" s="1"/>
  <c r="Y14" i="3"/>
  <c r="AI14" i="3" s="1"/>
  <c r="AS14" i="3" s="1"/>
  <c r="W18" i="3"/>
  <c r="AG18" i="3" s="1"/>
  <c r="AQ18" i="3" s="1"/>
  <c r="BA18" i="3" s="1"/>
  <c r="Y11" i="3"/>
  <c r="AI11" i="3" s="1"/>
  <c r="AS11" i="3" s="1"/>
  <c r="W19" i="3"/>
  <c r="AG19" i="3" s="1"/>
  <c r="AQ19" i="3" s="1"/>
  <c r="BA19" i="3" s="1"/>
  <c r="W10" i="3"/>
  <c r="AG10" i="3" s="1"/>
  <c r="AQ10" i="3" s="1"/>
  <c r="BA10" i="3" s="1"/>
  <c r="W16" i="3"/>
  <c r="AG16" i="3" s="1"/>
  <c r="AQ16" i="3" s="1"/>
  <c r="BA16" i="3" s="1"/>
  <c r="Y15" i="3"/>
  <c r="AI15" i="3" s="1"/>
  <c r="AS15" i="3" s="1"/>
  <c r="W17" i="3"/>
  <c r="AG17" i="3" s="1"/>
  <c r="AQ17" i="3" s="1"/>
  <c r="Y29" i="3"/>
  <c r="AI29" i="3" s="1"/>
  <c r="AS29" i="3" s="1"/>
  <c r="Y64" i="3"/>
  <c r="AI64" i="3" s="1"/>
  <c r="AS64" i="3" s="1"/>
  <c r="BC64" i="3" s="1"/>
  <c r="Y30" i="3"/>
  <c r="AI30" i="3" s="1"/>
  <c r="AS30" i="3" s="1"/>
  <c r="W62" i="3"/>
  <c r="AG62" i="3" s="1"/>
  <c r="AQ62" i="3" s="1"/>
  <c r="BA62" i="3" s="1"/>
  <c r="W63" i="3"/>
  <c r="AG63" i="3" s="1"/>
  <c r="AQ63" i="3" s="1"/>
  <c r="BA63" i="3" s="1"/>
  <c r="Y62" i="3"/>
  <c r="AI62" i="3" s="1"/>
  <c r="AS62" i="3" s="1"/>
  <c r="Y63" i="3"/>
  <c r="AI63" i="3" s="1"/>
  <c r="AS63" i="3" s="1"/>
  <c r="W29" i="3"/>
  <c r="AG29" i="3" s="1"/>
  <c r="AQ29" i="3" s="1"/>
  <c r="BA29" i="3" s="1"/>
  <c r="W64" i="3"/>
  <c r="AG64" i="3" s="1"/>
  <c r="AQ64" i="3" s="1"/>
  <c r="BA64" i="3" s="1"/>
  <c r="W30" i="3"/>
  <c r="AG30" i="3" s="1"/>
  <c r="AQ30" i="3" s="1"/>
  <c r="BA30" i="3" s="1"/>
  <c r="S66" i="3"/>
  <c r="AC66" i="3" s="1"/>
  <c r="AM66" i="3" s="1"/>
  <c r="AW66" i="3" s="1"/>
  <c r="S38" i="3"/>
  <c r="AC38" i="3" s="1"/>
  <c r="AM38" i="3" s="1"/>
  <c r="AW38" i="3" s="1"/>
  <c r="T66" i="3"/>
  <c r="AD66" i="3" s="1"/>
  <c r="AN66" i="3" s="1"/>
  <c r="AX66" i="3" s="1"/>
  <c r="S40" i="3"/>
  <c r="AC40" i="3" s="1"/>
  <c r="AM40" i="3" s="1"/>
  <c r="AW40" i="3" s="1"/>
  <c r="T40" i="3"/>
  <c r="AD40" i="3" s="1"/>
  <c r="AN40" i="3" s="1"/>
  <c r="AX40" i="3" s="1"/>
  <c r="S65" i="3"/>
  <c r="AC65" i="3" s="1"/>
  <c r="AM65" i="3" s="1"/>
  <c r="AW65" i="3" s="1"/>
  <c r="T65" i="3"/>
  <c r="AD65" i="3" s="1"/>
  <c r="AN65" i="3" s="1"/>
  <c r="AX65" i="3" s="1"/>
  <c r="T38" i="3"/>
  <c r="AD38" i="3" s="1"/>
  <c r="AN38" i="3" s="1"/>
  <c r="AX38" i="3" s="1"/>
  <c r="S37" i="3"/>
  <c r="AC37" i="3" s="1"/>
  <c r="AM37" i="3" s="1"/>
  <c r="AW37" i="3" s="1"/>
  <c r="S67" i="3"/>
  <c r="AC67" i="3" s="1"/>
  <c r="AM67" i="3" s="1"/>
  <c r="AW67" i="3" s="1"/>
  <c r="T37" i="3"/>
  <c r="AD37" i="3" s="1"/>
  <c r="AN37" i="3" s="1"/>
  <c r="AX37" i="3" s="1"/>
  <c r="T67" i="3"/>
  <c r="AD67" i="3" s="1"/>
  <c r="AN67" i="3" s="1"/>
  <c r="AX67" i="3" s="1"/>
  <c r="R12" i="6"/>
  <c r="V15" i="3"/>
  <c r="AF15" i="3" s="1"/>
  <c r="AP15" i="3" s="1"/>
  <c r="AZ15" i="3" s="1"/>
  <c r="V9" i="3"/>
  <c r="AF9" i="3" s="1"/>
  <c r="AP9" i="3" s="1"/>
  <c r="AZ9" i="3" s="1"/>
  <c r="V11" i="3"/>
  <c r="AF11" i="3" s="1"/>
  <c r="AP11" i="3" s="1"/>
  <c r="AZ11" i="3" s="1"/>
  <c r="V17" i="3"/>
  <c r="AF17" i="3" s="1"/>
  <c r="AP17" i="3" s="1"/>
  <c r="V13" i="3"/>
  <c r="AF13" i="3" s="1"/>
  <c r="AP13" i="3" s="1"/>
  <c r="AZ13" i="3" s="1"/>
  <c r="V18" i="3"/>
  <c r="AF18" i="3" s="1"/>
  <c r="AP18" i="3" s="1"/>
  <c r="AZ18" i="3" s="1"/>
  <c r="V10" i="3"/>
  <c r="AF10" i="3" s="1"/>
  <c r="AP10" i="3" s="1"/>
  <c r="AZ10" i="3" s="1"/>
  <c r="V19" i="3"/>
  <c r="AF19" i="3" s="1"/>
  <c r="AP19" i="3" s="1"/>
  <c r="AZ19" i="3" s="1"/>
  <c r="V16" i="3"/>
  <c r="AF16" i="3" s="1"/>
  <c r="AP16" i="3" s="1"/>
  <c r="AZ16" i="3" s="1"/>
  <c r="V8" i="3"/>
  <c r="AF8" i="3" s="1"/>
  <c r="AP8" i="3" s="1"/>
  <c r="AZ8" i="3" s="1"/>
  <c r="V14" i="3"/>
  <c r="AF14" i="3" s="1"/>
  <c r="AP14" i="3" s="1"/>
  <c r="AZ14" i="3" s="1"/>
  <c r="V63" i="3"/>
  <c r="AF63" i="3" s="1"/>
  <c r="AP63" i="3" s="1"/>
  <c r="AZ63" i="3" s="1"/>
  <c r="V29" i="3"/>
  <c r="AF29" i="3" s="1"/>
  <c r="AP29" i="3" s="1"/>
  <c r="AZ29" i="3" s="1"/>
  <c r="V64" i="3"/>
  <c r="AF64" i="3" s="1"/>
  <c r="AP64" i="3" s="1"/>
  <c r="AZ64" i="3" s="1"/>
  <c r="V30" i="3"/>
  <c r="AF30" i="3" s="1"/>
  <c r="AP30" i="3" s="1"/>
  <c r="AZ30" i="3" s="1"/>
  <c r="V62" i="3"/>
  <c r="AF62" i="3" s="1"/>
  <c r="AP62" i="3" s="1"/>
  <c r="AZ62" i="3" s="1"/>
  <c r="R19" i="3"/>
  <c r="AB19" i="3" s="1"/>
  <c r="AL19" i="3" s="1"/>
  <c r="AV19" i="3" s="1"/>
  <c r="R7" i="6"/>
  <c r="Q12" i="6"/>
  <c r="E15" i="6"/>
  <c r="Q15" i="6" s="1"/>
  <c r="R18" i="3"/>
  <c r="AB18" i="3" s="1"/>
  <c r="AL18" i="3" s="1"/>
  <c r="AV18" i="3" s="1"/>
  <c r="S7" i="6"/>
  <c r="R15" i="6"/>
  <c r="R17" i="3"/>
  <c r="AB17" i="3" s="1"/>
  <c r="AL17" i="3" s="1"/>
  <c r="R16" i="6"/>
  <c r="Q6" i="6"/>
  <c r="S8" i="6"/>
  <c r="R16" i="3"/>
  <c r="AB16" i="3" s="1"/>
  <c r="AL16" i="3" s="1"/>
  <c r="AV16" i="3" s="1"/>
  <c r="R6" i="6"/>
  <c r="R15" i="3"/>
  <c r="AB15" i="3" s="1"/>
  <c r="AL15" i="3" s="1"/>
  <c r="AV15" i="3" s="1"/>
  <c r="Q5" i="6"/>
  <c r="E9" i="6"/>
  <c r="Q9" i="6" s="1"/>
  <c r="R5" i="6"/>
  <c r="F9" i="6"/>
  <c r="R9" i="6" s="1"/>
  <c r="G9" i="6"/>
  <c r="S9" i="6" s="1"/>
  <c r="R8" i="6"/>
  <c r="S5" i="6"/>
  <c r="Q13" i="6"/>
  <c r="Q14" i="6"/>
  <c r="R14" i="6"/>
  <c r="R13" i="6"/>
  <c r="S4" i="6"/>
  <c r="Q7" i="6"/>
  <c r="F28" i="5"/>
  <c r="AY12" i="3" s="1"/>
  <c r="G6" i="5"/>
  <c r="BC29" i="3" l="1"/>
  <c r="BC18" i="3"/>
  <c r="BC65" i="3"/>
  <c r="BC23" i="3"/>
  <c r="BC38" i="3"/>
  <c r="BC54" i="3"/>
  <c r="BC25" i="3"/>
  <c r="BC15" i="3"/>
  <c r="BC22" i="3"/>
  <c r="BC53" i="3"/>
  <c r="BC8" i="3"/>
  <c r="BC55" i="3"/>
  <c r="BC11" i="3"/>
  <c r="BC14" i="3"/>
  <c r="BC16" i="3"/>
  <c r="BC37" i="3"/>
  <c r="BC40" i="3"/>
  <c r="BC52" i="3"/>
  <c r="BC67" i="3"/>
  <c r="BC36" i="3"/>
  <c r="BC63" i="3"/>
  <c r="K65" i="9"/>
  <c r="I58" i="9"/>
  <c r="BC62" i="3"/>
  <c r="BC19" i="3"/>
  <c r="BC10" i="3"/>
  <c r="BC13" i="3"/>
  <c r="BC30" i="3"/>
  <c r="BC9" i="3"/>
  <c r="BC66" i="3"/>
  <c r="I5" i="9"/>
  <c r="J5" i="9" s="1"/>
  <c r="K5" i="9" s="1"/>
  <c r="AK8" i="3"/>
  <c r="AU8" i="3" s="1"/>
  <c r="BE8" i="3" s="1"/>
  <c r="AC8" i="3"/>
  <c r="AM8" i="3" s="1"/>
  <c r="AW8" i="3" s="1"/>
  <c r="AC9" i="3"/>
  <c r="AM9" i="3" s="1"/>
  <c r="AW9" i="3" s="1"/>
  <c r="BF12" i="3"/>
  <c r="AY36" i="3"/>
  <c r="AY40" i="3"/>
  <c r="AY37" i="3"/>
  <c r="AY65" i="3"/>
  <c r="AY67" i="3"/>
  <c r="AY38" i="3"/>
  <c r="AY30" i="3"/>
  <c r="AY64" i="3"/>
  <c r="BF64" i="3" s="1"/>
  <c r="AY63" i="3"/>
  <c r="AY8" i="3"/>
  <c r="AY18" i="3"/>
  <c r="BF18" i="3" s="1"/>
  <c r="AY16" i="3"/>
  <c r="BF16" i="3" s="1"/>
  <c r="AY19" i="3"/>
  <c r="AY54" i="3"/>
  <c r="AY53" i="3"/>
  <c r="AY22" i="3"/>
  <c r="AY25" i="3"/>
  <c r="AY24" i="3"/>
  <c r="BF24" i="3" s="1"/>
  <c r="AY23" i="3"/>
  <c r="AY33" i="3"/>
  <c r="AY66" i="3"/>
  <c r="AY62" i="3"/>
  <c r="AY29" i="3"/>
  <c r="BF29" i="3" s="1"/>
  <c r="AY14" i="3"/>
  <c r="AY9" i="3"/>
  <c r="AY15" i="3"/>
  <c r="AY13" i="3"/>
  <c r="AY11" i="3"/>
  <c r="BF11" i="3" s="1"/>
  <c r="AY10" i="3"/>
  <c r="BF10" i="3" s="1"/>
  <c r="AY52" i="3"/>
  <c r="AY55" i="3"/>
  <c r="K109" i="10"/>
  <c r="AB65" i="3"/>
  <c r="AL65" i="3" s="1"/>
  <c r="AV65" i="3" s="1"/>
  <c r="AB33" i="3"/>
  <c r="AL33" i="3" s="1"/>
  <c r="AV33" i="3" s="1"/>
  <c r="AV13" i="3"/>
  <c r="BF14" i="3" l="1"/>
  <c r="BF38" i="3"/>
  <c r="I64" i="9"/>
  <c r="I62" i="9"/>
  <c r="BF23" i="3"/>
  <c r="BF30" i="3"/>
  <c r="BF62" i="3"/>
  <c r="BF22" i="3"/>
  <c r="BF37" i="3"/>
  <c r="BF66" i="3"/>
  <c r="BF63" i="3"/>
  <c r="BF25" i="3"/>
  <c r="BF52" i="3"/>
  <c r="BF67" i="3"/>
  <c r="BF55" i="3"/>
  <c r="BF54" i="3"/>
  <c r="BF53" i="3"/>
  <c r="BF15" i="3"/>
  <c r="BF40" i="3"/>
  <c r="BF19" i="3"/>
  <c r="BF36" i="3"/>
  <c r="M5" i="9"/>
  <c r="N5" i="9" s="1"/>
  <c r="P4" i="9" s="1"/>
  <c r="L5" i="9"/>
  <c r="BF9" i="3"/>
  <c r="BF13" i="3"/>
  <c r="BF33" i="3"/>
  <c r="BF8" i="3"/>
  <c r="BF65" i="3"/>
  <c r="R5" i="9" l="1"/>
  <c r="P5" i="9" l="1"/>
  <c r="S5" i="9" s="1"/>
  <c r="T5" i="9" s="1"/>
  <c r="S4" i="9" l="1"/>
  <c r="U4" i="9" s="1"/>
  <c r="T4" i="9"/>
  <c r="V4" i="9"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Administrator</author>
    <author>tc={4CBAACB8-E505-47BA-A7AE-925AFCD73C8D}</author>
  </authors>
  <commentList>
    <comment ref="G3" authorId="0" shapeId="0" xr:uid="{AC562671-0E54-4225-A09E-989AC5AAE36E}">
      <text>
        <r>
          <rPr>
            <b/>
            <sz val="9"/>
            <color indexed="81"/>
            <rFont val="Tahoma"/>
            <family val="2"/>
          </rPr>
          <t>Administrator:</t>
        </r>
        <r>
          <rPr>
            <sz val="9"/>
            <color indexed="81"/>
            <rFont val="Tahoma"/>
            <family val="2"/>
          </rPr>
          <t xml:space="preserve">
For example for replanting could be 100%, integrated approach involving spatial plan, regulation, community livelihood etc could be 50% to 90%, forest  patroling maybe only 30% to 50%, etc</t>
        </r>
      </text>
    </comment>
    <comment ref="D4" authorId="1" shapeId="0" xr:uid="{4CBAACB8-E505-47BA-A7AE-925AFCD73C8D}">
      <text>
        <t>[Kommentarthread]
Ihre Version von Excel gestattet Ihnen das Lesen dieses Kommentarthreads. Jegliche Bearbeitungen daran werden jedoch entfernt, wenn die Datei in einer neueren Version von Excel geöffnet wird. Weitere Informationen: https://go.microsoft.com/fwlink/?linkid=870924.
Kommentar:
    if the KEE is forested areas, sequestration is not relevant, in particular in primary forests, which in equilibrium state. If its is a secondary forest, the FRL doesnt account sequestration from secondary to primary forests</t>
      </text>
    </comment>
  </commentList>
</comments>
</file>

<file path=xl/sharedStrings.xml><?xml version="1.0" encoding="utf-8"?>
<sst xmlns="http://schemas.openxmlformats.org/spreadsheetml/2006/main" count="1440" uniqueCount="516">
  <si>
    <t>Author</t>
  </si>
  <si>
    <t>Solichin Manuri &lt;solichin.manuri@gmail.com&gt;</t>
  </si>
  <si>
    <t>Purpose</t>
  </si>
  <si>
    <t>File structure</t>
  </si>
  <si>
    <t>Data sources</t>
  </si>
  <si>
    <t>Known issues</t>
  </si>
  <si>
    <t>*These sheets are used for estimating the targeted emission reduction based on the planned activities and their expected output, potential area of implementation, and baseline emissions.</t>
  </si>
  <si>
    <t xml:space="preserve">*After selection of priority districts for the REDD+ implementation, the Task Force further identified selected villages for implementation at site level. </t>
  </si>
  <si>
    <r>
      <t>*Emission factors used in this analysis were the Implied emission factors (Implied EFs) derived from the total emission or removal from each REDD+ activity devided by total AD of each activity (see sheet "</t>
    </r>
    <r>
      <rPr>
        <b/>
        <sz val="11"/>
        <color theme="1"/>
        <rFont val="Calibri"/>
        <family val="2"/>
        <scheme val="minor"/>
      </rPr>
      <t>Baseline FRL</t>
    </r>
    <r>
      <rPr>
        <sz val="11"/>
        <color theme="1"/>
        <rFont val="Calibri"/>
        <family val="2"/>
        <scheme val="minor"/>
      </rPr>
      <t>"). Detail EFs used to generate the baseline are also presented in this sheet.</t>
    </r>
  </si>
  <si>
    <r>
      <t xml:space="preserve">*The planned activities were developed by the Provincial REDD+ task Force in April, 4th 2023 (see sheet </t>
    </r>
    <r>
      <rPr>
        <b/>
        <sz val="11"/>
        <color theme="1"/>
        <rFont val="Calibri"/>
        <family val="2"/>
        <scheme val="minor"/>
      </rPr>
      <t>Program Activity_rev</t>
    </r>
    <r>
      <rPr>
        <sz val="11"/>
        <color theme="1"/>
        <rFont val="Calibri"/>
        <family val="2"/>
        <scheme val="minor"/>
      </rPr>
      <t xml:space="preserve">). Detailed calculation of the expected ER impact for each activity is presented in this sheet. </t>
    </r>
  </si>
  <si>
    <r>
      <t>*The estimated ER target is presented in sheet "</t>
    </r>
    <r>
      <rPr>
        <b/>
        <sz val="11"/>
        <color theme="1"/>
        <rFont val="Calibri"/>
        <family val="2"/>
        <scheme val="minor"/>
      </rPr>
      <t>ER Target</t>
    </r>
    <r>
      <rPr>
        <sz val="11"/>
        <color theme="1"/>
        <rFont val="Calibri"/>
        <family val="2"/>
        <scheme val="minor"/>
      </rPr>
      <t xml:space="preserve">". Some variables are provided in here, which could be updated based on the agreed assumptions. Each activity was identified and tagged based on two categories, i.e. enabling program or direct mitigation (see </t>
    </r>
    <r>
      <rPr>
        <b/>
        <sz val="11"/>
        <color theme="1"/>
        <rFont val="Calibri"/>
        <family val="2"/>
        <scheme val="minor"/>
      </rPr>
      <t>Column G</t>
    </r>
    <r>
      <rPr>
        <sz val="11"/>
        <color theme="1"/>
        <rFont val="Calibri"/>
        <family val="2"/>
        <scheme val="minor"/>
      </rPr>
      <t xml:space="preserve"> in </t>
    </r>
    <r>
      <rPr>
        <b/>
        <sz val="11"/>
        <color theme="1"/>
        <rFont val="Calibri"/>
        <family val="2"/>
        <scheme val="minor"/>
      </rPr>
      <t>Program Activity_04.04.2023</t>
    </r>
    <r>
      <rPr>
        <sz val="11"/>
        <color theme="1"/>
        <rFont val="Calibri"/>
        <family val="2"/>
        <scheme val="minor"/>
      </rPr>
      <t xml:space="preserve"> Sheet), which later used to identified the ER impact proportion of each category (see </t>
    </r>
    <r>
      <rPr>
        <b/>
        <sz val="11"/>
        <color theme="1"/>
        <rFont val="Calibri"/>
        <family val="2"/>
        <scheme val="minor"/>
      </rPr>
      <t>Column B2:C4</t>
    </r>
    <r>
      <rPr>
        <sz val="11"/>
        <color theme="1"/>
        <rFont val="Calibri"/>
        <family val="2"/>
        <scheme val="minor"/>
      </rPr>
      <t xml:space="preserve"> in "</t>
    </r>
    <r>
      <rPr>
        <b/>
        <sz val="11"/>
        <color theme="1"/>
        <rFont val="Calibri"/>
        <family val="2"/>
        <scheme val="minor"/>
      </rPr>
      <t>ER Target</t>
    </r>
    <r>
      <rPr>
        <sz val="11"/>
        <color theme="1"/>
        <rFont val="Calibri"/>
        <family val="2"/>
        <scheme val="minor"/>
      </rPr>
      <t xml:space="preserve">" sheet). The intermediate calculation are conducted in the </t>
    </r>
    <r>
      <rPr>
        <b/>
        <sz val="11"/>
        <color theme="1"/>
        <rFont val="Calibri"/>
        <family val="2"/>
        <scheme val="minor"/>
      </rPr>
      <t>Pivot ER</t>
    </r>
    <r>
      <rPr>
        <sz val="11"/>
        <color theme="1"/>
        <rFont val="Calibri"/>
        <family val="2"/>
        <scheme val="minor"/>
      </rPr>
      <t xml:space="preserve"> sheet.</t>
    </r>
  </si>
  <si>
    <r>
      <t>*The emission factors used to estimate the baseline was presented in sheet "</t>
    </r>
    <r>
      <rPr>
        <b/>
        <sz val="11"/>
        <color theme="1"/>
        <rFont val="Calibri"/>
        <family val="2"/>
        <scheme val="minor"/>
      </rPr>
      <t>EFs</t>
    </r>
    <r>
      <rPr>
        <sz val="11"/>
        <color theme="1"/>
        <rFont val="Calibri"/>
        <family val="2"/>
        <scheme val="minor"/>
      </rPr>
      <t>". The Efs are used for the calculation of the emission baseline in the Monte Carlo Simulation sheet.</t>
    </r>
  </si>
  <si>
    <t>The following activities are considered to have a direct mitigation potential:</t>
  </si>
  <si>
    <t>Activity</t>
  </si>
  <si>
    <t>Sub-Activity</t>
  </si>
  <si>
    <t>Deliverable_text</t>
  </si>
  <si>
    <t>Comment</t>
  </si>
  <si>
    <t>Target area (ha)</t>
  </si>
  <si>
    <t>Sub-activity 1.4.2 </t>
  </si>
  <si>
    <t>Sub-activity 2.2.1</t>
  </si>
  <si>
    <t>We will implement measures to increase the resilience of 10,000 smallholder farmers (70,000 indirect beneficiaries) and to avoid deforestation on 25,000 ha of smallholders’ agricultural land in WK</t>
  </si>
  <si>
    <t>Sub-activity 2.2.3</t>
  </si>
  <si>
    <t>10,000 smallholders are traced under traceability system (mapping conducted under 2.2.1) </t>
  </si>
  <si>
    <t>not relevant (same as 2.2.1)</t>
  </si>
  <si>
    <t>Sub-activity 3.1.4.2</t>
  </si>
  <si>
    <t>10 FMU forest patrol system is integrated with SMART Patrol (10 FMU)</t>
  </si>
  <si>
    <t>Sub-activity 3.1.4.3</t>
  </si>
  <si>
    <t>Rehabilitation of degraded areas in APL (10 FMU)</t>
  </si>
  <si>
    <t xml:space="preserve">Sub-activity 3.2.1 </t>
  </si>
  <si>
    <t>Around 20 new SF licenses for covering around 100,000 ha of un-licensed forest areas.</t>
  </si>
  <si>
    <t>At least 20 new SF management plans for covering 100,000 ha of existing SF-licensed forest areas</t>
  </si>
  <si>
    <t xml:space="preserve">Sub-activity 3.2.4. </t>
  </si>
  <si>
    <t>Peat restoration</t>
  </si>
  <si>
    <t>Mangroves restoration</t>
  </si>
  <si>
    <t>One pilot project of aquaculture in mangrove established</t>
  </si>
  <si>
    <t>Program Category</t>
  </si>
  <si>
    <t>Expected Impact to ER</t>
  </si>
  <si>
    <t>Program Year</t>
  </si>
  <si>
    <t>Year 1</t>
  </si>
  <si>
    <t>Year 2</t>
  </si>
  <si>
    <t>Year 3</t>
  </si>
  <si>
    <t>Year 4</t>
  </si>
  <si>
    <t>Year 5</t>
  </si>
  <si>
    <t>Year 6</t>
  </si>
  <si>
    <t>Enabling program</t>
  </si>
  <si>
    <t>Cummulative impact</t>
  </si>
  <si>
    <t>Cummulative ER Target</t>
  </si>
  <si>
    <t>Adaptation</t>
  </si>
  <si>
    <t>FRL</t>
  </si>
  <si>
    <t>Proportion contribution of each activity to annual ER</t>
  </si>
  <si>
    <t>Emission Reduction by Project Activity</t>
  </si>
  <si>
    <t>Activity Number</t>
  </si>
  <si>
    <t>Sub-activity number</t>
  </si>
  <si>
    <t>Total ER (tCO2e/yr)</t>
  </si>
  <si>
    <t>Output Number</t>
  </si>
  <si>
    <t>Total Expected ER (tCO2e)</t>
  </si>
  <si>
    <t>Activity 1.1</t>
  </si>
  <si>
    <t xml:space="preserve">Output 1 </t>
  </si>
  <si>
    <t>Sub-activity 1.1.4</t>
  </si>
  <si>
    <t>Output 2</t>
  </si>
  <si>
    <t>Output 3</t>
  </si>
  <si>
    <t>Table 1</t>
  </si>
  <si>
    <t>GHG Source</t>
  </si>
  <si>
    <t>Reference Level</t>
  </si>
  <si>
    <t>Projected Emissions</t>
  </si>
  <si>
    <t>Expected Net Benefit (tCO2/year)</t>
  </si>
  <si>
    <t>Total Net Benefit (tCO2/year)</t>
  </si>
  <si>
    <t>Deforestation</t>
  </si>
  <si>
    <t>Forest Degradation</t>
  </si>
  <si>
    <t>Enhancement of Forest Carbon Stock</t>
  </si>
  <si>
    <t>Total</t>
  </si>
  <si>
    <t>Table 2</t>
  </si>
  <si>
    <t>Total Program financing (mill Euro)</t>
  </si>
  <si>
    <t>GCF Financing (mill Euro)</t>
  </si>
  <si>
    <t>TCO2 ER</t>
  </si>
  <si>
    <t>Cost per tCO2 (total program fund)</t>
  </si>
  <si>
    <t>Cost per tCO2 (GCF fund)</t>
  </si>
  <si>
    <t>Table 3a. Effectiveness factor and the expected impact to the reduced activity data</t>
  </si>
  <si>
    <t>Effectiveness factor in reducing the activity data</t>
  </si>
  <si>
    <t>Reduced activity data due to effectiveness factor (ha)</t>
  </si>
  <si>
    <t>REDD+ Activities</t>
  </si>
  <si>
    <t>Annual AD</t>
  </si>
  <si>
    <t>Total effectiveness factor</t>
  </si>
  <si>
    <t>Total reduced activity data due to effectiveness factor (ha)</t>
  </si>
  <si>
    <t>Implied Emission Factors (tCO2e/ha)</t>
  </si>
  <si>
    <t>Effectiveness factor</t>
  </si>
  <si>
    <t xml:space="preserve"> REDD+ Activities </t>
  </si>
  <si>
    <t>Deforestation Emission  - Biomass</t>
  </si>
  <si>
    <r>
      <t>Deforestation</t>
    </r>
    <r>
      <rPr>
        <sz val="9"/>
        <color rgb="FF000000"/>
        <rFont val="Calibri"/>
        <family val="2"/>
        <scheme val="minor"/>
      </rPr>
      <t> </t>
    </r>
  </si>
  <si>
    <t>Peat Decomposition Emission (in deforested area)</t>
  </si>
  <si>
    <t>Deforestation Emission - Biomass</t>
  </si>
  <si>
    <t>Peat fire emission</t>
  </si>
  <si>
    <t>AGB+DOM fire emission (in deforested area)</t>
  </si>
  <si>
    <t>Mangrove soil emissions (in deforested area)</t>
  </si>
  <si>
    <t>Forest degradation emission - Biomass</t>
  </si>
  <si>
    <r>
      <t>Forest Degradation</t>
    </r>
    <r>
      <rPr>
        <sz val="9"/>
        <color rgb="FF000000"/>
        <rFont val="Calibri"/>
        <family val="2"/>
        <scheme val="minor"/>
      </rPr>
      <t> </t>
    </r>
  </si>
  <si>
    <t>Peat Decomposition Emission (in forest degraded area)</t>
  </si>
  <si>
    <t>AGB+DOM fire emission (in forest degraded area)</t>
  </si>
  <si>
    <t>Enhance of forest carbon stock (EFCS) - Biomass</t>
  </si>
  <si>
    <r>
      <t>Enhancement of Forest Carbon Stock</t>
    </r>
    <r>
      <rPr>
        <sz val="9"/>
        <color rgb="FF000000"/>
        <rFont val="Calibri"/>
        <family val="2"/>
        <scheme val="minor"/>
      </rPr>
      <t> </t>
    </r>
  </si>
  <si>
    <t>Peat Decomposition Emission (in EFCS area)</t>
  </si>
  <si>
    <t>*derived from Pivot ER Sheet-&gt;C83:N92</t>
  </si>
  <si>
    <t>Table 3b. Intervention areas based on REDD+ activities and targeted areas for the program activities</t>
  </si>
  <si>
    <t>Intervention level of Program Activities (hectares)</t>
  </si>
  <si>
    <t>REDD+ Sub Activities</t>
  </si>
  <si>
    <t>Implementing areas of sub-activities</t>
  </si>
  <si>
    <t>Province</t>
  </si>
  <si>
    <t>Priority Districts</t>
  </si>
  <si>
    <t>FMUs at priority districts</t>
  </si>
  <si>
    <t>Private sectors in priority districts</t>
  </si>
  <si>
    <t>CA in priority districts</t>
  </si>
  <si>
    <t>APL in priority districts</t>
  </si>
  <si>
    <t>Priority Villages</t>
  </si>
  <si>
    <t>FMUs in priority villages</t>
  </si>
  <si>
    <t>APL in priority villages</t>
  </si>
  <si>
    <t>Social Forestry in priority villages</t>
  </si>
  <si>
    <t>CA in priority villages</t>
  </si>
  <si>
    <t>Total Forest</t>
  </si>
  <si>
    <t>Forested areas in peatland</t>
  </si>
  <si>
    <t>Total mangrove</t>
  </si>
  <si>
    <t>Total primary forest</t>
  </si>
  <si>
    <t>primary forest in peatland</t>
  </si>
  <si>
    <t>Non forested areas</t>
  </si>
  <si>
    <t>Non-forested areas in peatland</t>
  </si>
  <si>
    <t>(All)</t>
  </si>
  <si>
    <t>Output/Activity/Sub-activity</t>
  </si>
  <si>
    <t>Development of adaptation policies at provincial level in line with national adaptation policies </t>
  </si>
  <si>
    <t>Capacity building and implementation support related to climate change adaptation for government agencies at provincial, district and village level </t>
  </si>
  <si>
    <t xml:space="preserve"> Development of tools for the implementation of adaptation measures </t>
  </si>
  <si>
    <t xml:space="preserve"> Monitoring and reporting of adaptation measures </t>
  </si>
  <si>
    <t xml:space="preserve"> Inclusion of mitigation policies into provincial development plans </t>
  </si>
  <si>
    <t>Support implementation of enabling conditions for mitigation activities </t>
  </si>
  <si>
    <t>Monitoring and reporting of mitigation activities </t>
  </si>
  <si>
    <t>Enhance institutional arrangements for Provincial Body on Climate Change, including a stakeholder consultation and amendment of the supporting legal framework </t>
  </si>
  <si>
    <t xml:space="preserve"> Support activities of provincial body for climate change with capacity building measures, absorption of operational costs and outreach </t>
  </si>
  <si>
    <t>Develop and strengthen regulations at provincial and district levels, to govern the protection and sustainable management of the High Biodiversity and Carbon Areas.</t>
  </si>
  <si>
    <t>Increase stakeholders’ capacities (i.e. companies, communities, provincial and districts governments) in implementing the management plan for High Biodiversity and Carbon Areas within non-state forest land. </t>
  </si>
  <si>
    <t xml:space="preserve"> Support and monitor the management plan implementation for High Biodiversity and Carbon Areas. </t>
  </si>
  <si>
    <t>Development of climate-informed management plans of FMU units </t>
  </si>
  <si>
    <t xml:space="preserve"> Develop and strengthen SF business unit (KUPS) to establish, improve, and escalate market, supply chain, and value-added communities' products, including the creation of KUPS models and capital supports. </t>
  </si>
  <si>
    <t xml:space="preserve">Capacity building for SF permit holders </t>
  </si>
  <si>
    <t xml:space="preserve">Developing climate-resilient aquaculture infrastructure for coastal communities </t>
  </si>
  <si>
    <t xml:space="preserve"> Accelerate and enable access to potential financial streams for climate change mitigation (e.g. REDD+) and adaptation strategy, including eco-tourism, conservation commitment from private sector (i.e. RaCP), public fund (i.e. state-budget, aspiration fund), and Result Based Payment (i.e. BPDLH); </t>
  </si>
  <si>
    <t>Sum of ER-Deforestation Emission  - Biomass</t>
  </si>
  <si>
    <t>Sum of ER-Peat Decomposition Emission (in deforested area)</t>
  </si>
  <si>
    <t>Sum of ER-Peat fire emission</t>
  </si>
  <si>
    <t>Sum of ER-AGB+DOM fire emission (in deforested area)</t>
  </si>
  <si>
    <t>Sum of ER-Mangrove soil emissions (in deforested area)</t>
  </si>
  <si>
    <t>Sum of ER-AGB+DOM fire emission (in forest degraded area)</t>
  </si>
  <si>
    <t>Sum of ER-Peat Decomposition Emission (in forest degraded area)</t>
  </si>
  <si>
    <t>Sum of ER-Forest degradation emission - Biomass</t>
  </si>
  <si>
    <t>Sum of ER-Enhance of forest carbon stock (EFCS) - Biomass</t>
  </si>
  <si>
    <t>Sum of ER-Peat Decomposition Emission (in EFCS area)</t>
  </si>
  <si>
    <t>Effectiveness</t>
  </si>
  <si>
    <t>AD (ha/yr)</t>
  </si>
  <si>
    <t>Expected Impacted AD (Total ha)</t>
  </si>
  <si>
    <t>(Multiple Items)</t>
  </si>
  <si>
    <t>Values</t>
  </si>
  <si>
    <t>Sum of EFF-Deforestation Emission  - Biomass</t>
  </si>
  <si>
    <t>Average of AD Prov-Deforestation Emission  - Biomass</t>
  </si>
  <si>
    <t>Sum of EFF-Peat Decomposition Emission (in deforested area)</t>
  </si>
  <si>
    <t>Average of AD Prov - Peat Decomposition Emission (in deforested area)</t>
  </si>
  <si>
    <t>Sum of EAD-Deforestation Emission  - Biomass</t>
  </si>
  <si>
    <t>Sum of EFF-Peat fire emission</t>
  </si>
  <si>
    <t>Average of AD Prov-Peat fire emission</t>
  </si>
  <si>
    <t>Sum of EAD-Peat Decomposition Emission (in deforested area)</t>
  </si>
  <si>
    <t>Sum of EFF-AGB+DOM fire emission (in deforested area)</t>
  </si>
  <si>
    <t>Average of AD Prov-AGB+DOM fire emission (in deforested area)</t>
  </si>
  <si>
    <t>Sum of EAD-Peat fire emission</t>
  </si>
  <si>
    <t>Sum of EFF-Mangrove soil emissions (in deforested area)</t>
  </si>
  <si>
    <t>Average of AD Prov-Mangrove soil emissions (in deforested area)</t>
  </si>
  <si>
    <t>Sum of EAD-AGB+DOM fire emission (in deforested area)</t>
  </si>
  <si>
    <t>Sum of EFF-Forest degradation emission - Biomass</t>
  </si>
  <si>
    <t>Average of AD Prov- Forest degradation emission - Biomass</t>
  </si>
  <si>
    <t>Sum of EAD-Mangrove soil emissions (in deforested area)</t>
  </si>
  <si>
    <t>Sum of EFF-Peat Decomposition Emission (in forest degraded area)</t>
  </si>
  <si>
    <t>Average of AD Prov-Peat Decomposition Emission (in forest degraded area)</t>
  </si>
  <si>
    <t>Sum of EAD-Forest degradation emission - Biomass</t>
  </si>
  <si>
    <t>Sum of EFF-AGB+DOM fire emission (in forest degraded area)</t>
  </si>
  <si>
    <t>Average of AGB+DOM fire emission (in forest degraded area)</t>
  </si>
  <si>
    <t>Sum of EAD-Peat Decomposition Emission (in forest degraded area)</t>
  </si>
  <si>
    <t>Sum of EFF-Enhance of forest carbon stock (EFCS) - Biomass</t>
  </si>
  <si>
    <t>Average of Enhance of forest carbon stock (EFCS) - Biomass</t>
  </si>
  <si>
    <t>Sum of EAD-AGB+DOM fire emission (in forest degraded area)</t>
  </si>
  <si>
    <t>Sum of EFF-Peat Decomposition Emission (in EFCS area)</t>
  </si>
  <si>
    <t>Average of Peat Decomposition Emission (in EFCS area)</t>
  </si>
  <si>
    <t>Sum of EAD-Enhance of forest carbon stock (EFCS) - Biomass</t>
  </si>
  <si>
    <t>Sum of EAD-Peat Decomposition Emission (in EFCS area)</t>
  </si>
  <si>
    <t>Annual AD at Province Level (ha)</t>
  </si>
  <si>
    <t xml:space="preserve">Proportion of REDD+ Activity Data of each sub-activity to province level AD (%) </t>
  </si>
  <si>
    <t>Effectiveness Factor (%). EFF was generated by multiplying the PAD with Sub-activity type contribution</t>
  </si>
  <si>
    <t>Expected impact to AD (ha). Expected AD was derived from multiplication of the annual AD with EFF</t>
  </si>
  <si>
    <t>Expected ER (tCO2)</t>
  </si>
  <si>
    <t>Program Type</t>
  </si>
  <si>
    <t>Jurisdiction Level</t>
  </si>
  <si>
    <t>AD Prov-Deforestation Emission  - Biomass</t>
  </si>
  <si>
    <t>AD Prov - Peat Decomposition Emission (in deforested area)</t>
  </si>
  <si>
    <t>AD Prov-Peat fire emission</t>
  </si>
  <si>
    <t>AD Prov-AGB+DOM fire emission (in deforested area)</t>
  </si>
  <si>
    <t>AD Prov-Mangrove soil emissions (in deforested area)</t>
  </si>
  <si>
    <t>AD Prov- Forest degradation emission - Biomass</t>
  </si>
  <si>
    <t>AD Prov-Peat Decomposition Emission (in forest degraded area)</t>
  </si>
  <si>
    <t>PAD-Deforestation Emission  - Biomass</t>
  </si>
  <si>
    <t>PAD-Peat Decomposition Emission (in deforested area)</t>
  </si>
  <si>
    <t>PAD-Peat fire emission</t>
  </si>
  <si>
    <t>PAD-AGB+DOM fire emission (in deforested area)</t>
  </si>
  <si>
    <t>PAD-Mangrove soil emissions (in deforested area)</t>
  </si>
  <si>
    <t>PAD-Forest degradation emission - Biomass</t>
  </si>
  <si>
    <t>PAD-Peat Decomposition Emission (in forest degraded area)</t>
  </si>
  <si>
    <t>PAD-AGB+DOM fire emission (in forest degraded area)</t>
  </si>
  <si>
    <t>PAD-Enhance of forest carbon stock (EFCS) - Biomass</t>
  </si>
  <si>
    <t>PAD-Peat Decomposition Emission (in EFCS area)</t>
  </si>
  <si>
    <t>EFF-Deforestation Emission  - Biomass</t>
  </si>
  <si>
    <t>EFF-Peat Decomposition Emission (in deforested area)</t>
  </si>
  <si>
    <t>EFF-Peat fire emission</t>
  </si>
  <si>
    <t>EFF-AGB+DOM fire emission (in deforested area)</t>
  </si>
  <si>
    <t>EFF-Mangrove soil emissions (in deforested area)</t>
  </si>
  <si>
    <t>EFF-Forest degradation emission - Biomass</t>
  </si>
  <si>
    <t>EFF-Peat Decomposition Emission (in forest degraded area)</t>
  </si>
  <si>
    <t>EFF-AGB+DOM fire emission (in forest degraded area)</t>
  </si>
  <si>
    <t>EFF-Enhance of forest carbon stock (EFCS) - Biomass</t>
  </si>
  <si>
    <t>EFF-Peat Decomposition Emission (in EFCS area)</t>
  </si>
  <si>
    <t>EAD-Deforestation Emission  - Biomass</t>
  </si>
  <si>
    <t>EAD-Peat Decomposition Emission (in deforested area)</t>
  </si>
  <si>
    <t>EAD-Peat fire emission</t>
  </si>
  <si>
    <t>EAD-AGB+DOM fire emission (in deforested area)</t>
  </si>
  <si>
    <t>EAD-Mangrove soil emissions (in deforested area)</t>
  </si>
  <si>
    <t>EAD-Forest degradation emission - Biomass</t>
  </si>
  <si>
    <t>EAD-Peat Decomposition Emission (in forest degraded area)</t>
  </si>
  <si>
    <t>EAD-AGB+DOM fire emission (in forest degraded area)</t>
  </si>
  <si>
    <t>EAD-Enhance of forest carbon stock (EFCS) - Biomass</t>
  </si>
  <si>
    <t>EAD-Peat Decomposition Emission (in EFCS area)</t>
  </si>
  <si>
    <t>ER-Deforestation Emission  - Biomass</t>
  </si>
  <si>
    <t>ER-Peat Decomposition Emission (in deforested area)</t>
  </si>
  <si>
    <t>ER-Peat fire emission</t>
  </si>
  <si>
    <t>ER-AGB+DOM fire emission (in deforested area)</t>
  </si>
  <si>
    <t>ER-Mangrove soil emissions (in deforested area)</t>
  </si>
  <si>
    <t>ER-Forest degradation emission - Biomass</t>
  </si>
  <si>
    <t>ER-Peat Decomposition Emission (in forest degraded area)</t>
  </si>
  <si>
    <t>ER-AGB+DOM fire emission (in forest degraded area)</t>
  </si>
  <si>
    <t>ER-Enhance of forest carbon stock (EFCS) - Biomass</t>
  </si>
  <si>
    <t>ER-Peat Decomposition Emission (in EFCS area)</t>
  </si>
  <si>
    <t>Total Expected ER (tCO2)</t>
  </si>
  <si>
    <t>Strengthening institutional regulatory frameworks for sustainable and climate-resilient landscape management </t>
  </si>
  <si>
    <t>Inclusion of climate change adaptation in mid-term, spatial, and other regional development plans </t>
  </si>
  <si>
    <t>Strengthening mitigation actions through improved REDD+ implementation towards achievement of sub-national FOLU Net Sink 2030 targets </t>
  </si>
  <si>
    <r>
      <t xml:space="preserve"> Align the provincial REDD+ policies</t>
    </r>
    <r>
      <rPr>
        <strike/>
        <sz val="11"/>
        <rFont val="Calibri"/>
        <family val="2"/>
        <scheme val="minor"/>
      </rPr>
      <t>y</t>
    </r>
    <r>
      <rPr>
        <sz val="11"/>
        <rFont val="Calibri"/>
        <family val="2"/>
        <scheme val="minor"/>
      </rPr>
      <t xml:space="preserve"> with the current national mitigation policies and regulations </t>
    </r>
  </si>
  <si>
    <r>
      <t xml:space="preserve">Strengthening the </t>
    </r>
    <r>
      <rPr>
        <b/>
        <strike/>
        <sz val="11"/>
        <rFont val="Calibri"/>
        <family val="2"/>
        <scheme val="minor"/>
      </rPr>
      <t>I</t>
    </r>
    <r>
      <rPr>
        <b/>
        <sz val="11"/>
        <rFont val="Calibri"/>
        <family val="2"/>
        <scheme val="minor"/>
      </rPr>
      <t>institutional framework for coordination of mitigation and adaptation activities from relevant stakeholders and across sectors </t>
    </r>
  </si>
  <si>
    <t>Strengthening the regulatory framework and implementation of High Biodiversity and Carbon Areas (i.e. HCV, HCS) on non-state forests land. </t>
  </si>
  <si>
    <t>Province APL</t>
  </si>
  <si>
    <t>Community forests</t>
  </si>
  <si>
    <t>Priority villages</t>
  </si>
  <si>
    <t>Priority districts</t>
  </si>
  <si>
    <r>
      <t>Implementing and up</t>
    </r>
    <r>
      <rPr>
        <b/>
        <strike/>
        <sz val="11"/>
        <rFont val="Calibri"/>
        <family val="2"/>
        <scheme val="minor"/>
      </rPr>
      <t>-</t>
    </r>
    <r>
      <rPr>
        <b/>
        <sz val="11"/>
        <rFont val="Calibri"/>
        <family val="2"/>
        <scheme val="minor"/>
      </rPr>
      <t>scaling the adoption of proven approaches for reducing emissions and enhancing the sustainability and climate resilience of smallholders in key commodity supply chains (including agroforestry) </t>
    </r>
  </si>
  <si>
    <t>Enhancing multi-stakeholder dialogue and platform for low-emission and climate-resilient agriculture and private sector investment </t>
  </si>
  <si>
    <t>FMUs of Priority Districts</t>
  </si>
  <si>
    <t>Advancing social forestry implementation including building awareness of local communities of climate risks and risk-reduction practices </t>
  </si>
  <si>
    <t>FRL IDH activity data and Baseline</t>
  </si>
  <si>
    <t>mean</t>
  </si>
  <si>
    <t>standard error</t>
  </si>
  <si>
    <t>U (%)</t>
  </si>
  <si>
    <t>AD (ha)/year</t>
  </si>
  <si>
    <t>Implied EFs</t>
  </si>
  <si>
    <t>Total emission deforestation, forest degradation and EFCS</t>
  </si>
  <si>
    <t>Based on Priority District</t>
  </si>
  <si>
    <t xml:space="preserve">Area in 2020 (Ha) </t>
  </si>
  <si>
    <t>Area proportion to total province level area (%)</t>
  </si>
  <si>
    <t>Forested areas in mineral soil</t>
  </si>
  <si>
    <t>Total Peatland</t>
  </si>
  <si>
    <t>Total Intervention Area</t>
  </si>
  <si>
    <t>Prioity Districts</t>
  </si>
  <si>
    <t>Targeted FMUs</t>
  </si>
  <si>
    <t>Private Sectors in targeted districts</t>
  </si>
  <si>
    <t>CA in targeted districts</t>
  </si>
  <si>
    <t>Based on village selection</t>
  </si>
  <si>
    <t xml:space="preserve">Area proportion of selected village to total province level area (%) </t>
  </si>
  <si>
    <t>Targeted Villages</t>
  </si>
  <si>
    <t>FMUs in targeted villages</t>
  </si>
  <si>
    <t>APL in targeted villages</t>
  </si>
  <si>
    <t>Social Forestry in Targeted villages</t>
  </si>
  <si>
    <t>CA in targeted villages</t>
  </si>
  <si>
    <t>Summary Emission Factor, SE and Sources for Kalbar Analysis</t>
  </si>
  <si>
    <t>Aboveground and belowground biomass values used for emission calculation from land cover changes.</t>
  </si>
  <si>
    <t>Land Cover</t>
  </si>
  <si>
    <t>Kode</t>
  </si>
  <si>
    <t>AGB (t d.m. /ha)*</t>
  </si>
  <si>
    <t>BGB (t d.m. /ha)</t>
  </si>
  <si>
    <t>Mean</t>
  </si>
  <si>
    <t>SE</t>
  </si>
  <si>
    <t>Source</t>
  </si>
  <si>
    <t>Primary dryland forest</t>
  </si>
  <si>
    <t>Table 6. Modified_2nd FRL Indonesia</t>
  </si>
  <si>
    <t>Secondary dryland forest</t>
  </si>
  <si>
    <t>Primary mangrove forest</t>
  </si>
  <si>
    <t xml:space="preserve">Primary swamp forest </t>
  </si>
  <si>
    <t>Secondary mangrove forest</t>
  </si>
  <si>
    <t>Secondary swamp forest</t>
  </si>
  <si>
    <t>Plantation forest</t>
  </si>
  <si>
    <t>Table 7. Modified_2nd FRL Indonesia</t>
  </si>
  <si>
    <t>Dry shrub</t>
  </si>
  <si>
    <t>Estate crop</t>
  </si>
  <si>
    <t>Settlement</t>
  </si>
  <si>
    <t>Bare ground</t>
  </si>
  <si>
    <t>Savanna and grasses</t>
  </si>
  <si>
    <t>Open water</t>
  </si>
  <si>
    <t>Wet shrub</t>
  </si>
  <si>
    <t>Pure dry agriculture</t>
  </si>
  <si>
    <t>Mixed dry agriculture</t>
  </si>
  <si>
    <t>Paddy field</t>
  </si>
  <si>
    <t>Fish pond/aquaculture</t>
  </si>
  <si>
    <t>Port and harbor</t>
  </si>
  <si>
    <t>Transmigration areas</t>
  </si>
  <si>
    <t>Mining areas</t>
  </si>
  <si>
    <t>Open swamp</t>
  </si>
  <si>
    <t>Emission factors of peat decomposition</t>
  </si>
  <si>
    <t xml:space="preserve">Peat Decomposition (Mg CO2 ha-1 yr-1) </t>
  </si>
  <si>
    <t>Table 10. Modified_2nd FRL Indonesia</t>
  </si>
  <si>
    <t>Emission factors for estimating peat fire emissions</t>
  </si>
  <si>
    <t>Peat Fire (CO2) (t CO2e/ha)</t>
  </si>
  <si>
    <t>Peat Fire (CH4) (t CO2e/ha)</t>
  </si>
  <si>
    <t>Table 8. Modified_2nd FRL Indonesia</t>
  </si>
  <si>
    <t>Fuel mass values for estimating emissions from biomass burning</t>
  </si>
  <si>
    <t>AGB+DoM (CH4) (t CO2e/ha)</t>
  </si>
  <si>
    <t>AGB+DoM (N2O) (t CO2e/ha)</t>
  </si>
  <si>
    <t>Table 9. Modified_2nd FRL Indonesia</t>
  </si>
  <si>
    <t>Emission factors for estimating emissions from mangrove soil conversion</t>
  </si>
  <si>
    <t>Mangrove Soil ((t CO2e/ha)</t>
  </si>
  <si>
    <t>Table 11. Modified_2nd FRL Indonesia</t>
  </si>
  <si>
    <t>Please define sequestration rates (based on: avoidance of degradation &amp; emission removal). Year 1-3 initiate the regulation, Y3 involve all stakehldrers, Y7 will achieve</t>
  </si>
  <si>
    <t>Please define AD and EF; 10 FMUs as part of activity; 5 Mio ha of mostly dryland forest; EF should be rather low; overlap with 3.2. FMUs at 5 districts</t>
  </si>
  <si>
    <t>Please define area and sequestration rates; counted in sub-activity 3.1.4.2. FMU at 5 districts</t>
  </si>
  <si>
    <t>SF Areas</t>
  </si>
  <si>
    <t>Forest restoration and rehabilitation of mangrove and peat forest ecosystems (10,000 ha)</t>
  </si>
  <si>
    <t>1000 rehabilitation, 9000 for peat rewetting. Will be implemented in non forested areas in APL and forest state, in peatland and man</t>
  </si>
  <si>
    <t>Based on discussions with Denni, Laura and Johannes on 26th October</t>
  </si>
  <si>
    <t>Justfication</t>
  </si>
  <si>
    <t xml:space="preserve">Priority villages APL, HCVF near the villages will be protected. ISPO required such measures to be certified. </t>
  </si>
  <si>
    <t>Direct mitigation1</t>
  </si>
  <si>
    <t>Direct mitigation2</t>
  </si>
  <si>
    <t>Direct mitigation3</t>
  </si>
  <si>
    <t>same as above</t>
  </si>
  <si>
    <t>Direct mitigation4</t>
  </si>
  <si>
    <t>Direct mitigation5</t>
  </si>
  <si>
    <t>*Derived from "Pivot Table" sheet &gt; G11: I28</t>
  </si>
  <si>
    <t xml:space="preserve">    </t>
  </si>
  <si>
    <t>Background calculations for Er target for the GCF funded REDD+ enabling program. These sheets are used for estimating the targeted emission reduction based on the planned activities and their expected output, potential area of implementation, and baseline emissions.</t>
  </si>
  <si>
    <t>Tab "ER Target"</t>
  </si>
  <si>
    <t>overview of assumptions made and summary of the estimated ER</t>
  </si>
  <si>
    <t>Tab "Pivot ER"</t>
  </si>
  <si>
    <t>Pivot tables generated from the detail activties on "Program Activity-Rev" Tab. This is used for intermediate calculation to feed the sumary tables in the "ER Target" tab</t>
  </si>
  <si>
    <t>Tab "Activities-Direct Miitigation"</t>
  </si>
  <si>
    <t>List of activities that expected to be a mitigation action. Assumptions and justification are also discussed and provided</t>
  </si>
  <si>
    <t>Tab "Baseline FRL"</t>
  </si>
  <si>
    <t>Tab "Implementing Areas"</t>
  </si>
  <si>
    <t>Tab "EF Sources"</t>
  </si>
  <si>
    <t>Contains calculations of potential area of intervention related to the size of forested areas, peatlands and mangrove within various jurisdictional, administration and land management types</t>
  </si>
  <si>
    <t>List of original emission actors used to generate the baseline.</t>
  </si>
  <si>
    <t>The baseline used for estimating the expected ER. The numbers were derived from the 2nd FRL document of West Kalimantan. The Implied Efs are generated for each REDD+ subactivities, based on the annual emissions devided by the annual AD</t>
  </si>
  <si>
    <t>see tabs Baseline and EF SOurces</t>
  </si>
  <si>
    <t>This will be implemented at 10 FMUs in 5 priority districts. It is not decided yet, which 10 FMUs will be selected. There are total of 16 FMUs in the 5 priority districts.  Assuming each FMU has similar size, then we use the proportion of the implemented FMU number
 with total FMU within the 5 districts, of about 60%. This activity is expected to have 50% of success rate to reduced the AD within the remaining forests of the area intervntion. Ttherefore the potential contribution to AD is 60%x50% = 30%</t>
  </si>
  <si>
    <t>The outcome of this activity is to establish new KEE of 100,000 ha of forested areas from APL located in 5 priority districts. 
Total forested areas in APL of the 5 priority districts is 445,000 ha. 
Therefore about 25% of the remaining forest in the APL of the priority districts will be protected through this activity. In addition, the successfull rate of this activity to protect the remaining forest could be 90%, therefore the potential contribution of this activity to reduce the AD at forested APL in priority disstricts is 25% x 90% = 22.5%</t>
  </si>
  <si>
    <t>Proportion of target area to the jurisdictional implementing areas</t>
  </si>
  <si>
    <t>Potential contribution to AD reduction</t>
  </si>
  <si>
    <t>At least one KEE is formed covering a total of 100,000 ha forested land across 5 priority districts. </t>
  </si>
  <si>
    <t>This activity may avoid deforestation through the improvement of local livelihood by establishing 25,000 ha of agroforestry in selected villages. The remaining forests in the APL of selected villages is about 400,000 ha It is expectded that May contribute to 50% of the remaining forests within the intervention area will be impacted. The expected intervention areas will be APL of the priority villages</t>
  </si>
  <si>
    <t>10 FMUs out of 16 FMUs in priority districts</t>
  </si>
  <si>
    <t>In social forestry areas in priority villages</t>
  </si>
  <si>
    <t>Total forested areas in SF lcenses in priority districs is around 230 thousnad hectares. Intervention areas in 100 thousand hectares of Social Forestry. The proportion of the intervention areas with the total forested areas is around 50%</t>
  </si>
  <si>
    <t>Non forested peatlands in APL and forest estates in priority villages are 184 thousand hectares. Intervention of 5000 hectares will contribute to only 3% or maximum 5%</t>
  </si>
  <si>
    <t xml:space="preserve">Assumed pilot area of 25 hectares of aquaculture. Multiplication of the apporoach by the villagers is expected to be 200% (become 50 hectares). Develop new aquaculture project using silvofishery approach or restore the existing ones. Potentially 30-50% of the areas can be planted with trees. </t>
  </si>
  <si>
    <t xml:space="preserve">Assumed pilot area of 25 hectares of aquaculture. Multiplication of the apporoach by the villagers is expected to be 200% (become 50 hectares). Develop new aquaculture project using silvofishery approach or restore the existing ones. Potentially 50% of the areas can be planted with trees. </t>
  </si>
  <si>
    <t>Mitigation 1</t>
  </si>
  <si>
    <t>Mitigation 2</t>
  </si>
  <si>
    <t>Mitigation 3</t>
  </si>
  <si>
    <t>Mitigation 4</t>
  </si>
  <si>
    <t>Mitigation 5</t>
  </si>
  <si>
    <t>Mitigation 6</t>
  </si>
  <si>
    <t xml:space="preserve">The proportion of the potential impact of the activity to cover the target areas. </t>
  </si>
  <si>
    <r>
      <t>*There are 200 villages were selected from the priority districts. Further analysis on potential implementing areas for emission reduction(i.e. activity data in hectare) were conducted within the selected districts and villages, which include forested areas, mangroves and peatland (see sheet "</t>
    </r>
    <r>
      <rPr>
        <b/>
        <sz val="11"/>
        <color theme="1"/>
        <rFont val="Calibri"/>
        <family val="2"/>
        <scheme val="minor"/>
      </rPr>
      <t>Implementing Areas</t>
    </r>
    <r>
      <rPr>
        <sz val="11"/>
        <color theme="1"/>
        <rFont val="Calibri"/>
        <family val="2"/>
        <scheme val="minor"/>
      </rPr>
      <t xml:space="preserve">"). Forest and land cover map of 2020 was used to generate these data. </t>
    </r>
  </si>
  <si>
    <t>Tab "Program Activity-Rev"</t>
  </si>
  <si>
    <t>The tab provide detail calcculation of each activity program (revised version), considering the proportion of implementing areas, and expected impact of each program to reduce AD</t>
  </si>
  <si>
    <t>The assumptions used in this exerccise are based on discussions with Unique team (Johannes, Laura), and West Kalimantan team (Deni and Jumtani). Broader stakeholders could be involved to agree upon the assumptions, if time allows.</t>
  </si>
  <si>
    <t>Program activity</t>
  </si>
  <si>
    <t>All enabling program</t>
  </si>
  <si>
    <t>Activity 1.4.2</t>
  </si>
  <si>
    <t>Activity 2.2.1</t>
  </si>
  <si>
    <t>Activity 3.1.4</t>
  </si>
  <si>
    <t>Activity 3.2.1</t>
  </si>
  <si>
    <t>Activity 3.2.4</t>
  </si>
  <si>
    <t>Open access FMUs at Priority district</t>
  </si>
  <si>
    <t>Cummulative ER</t>
  </si>
  <si>
    <t>Annual baseline (FRL)</t>
  </si>
  <si>
    <t>% Total ER againts the baseline :</t>
  </si>
  <si>
    <t>% baseline reduction :</t>
  </si>
  <si>
    <t>Total 7 year Expected ER (tCO2e)</t>
  </si>
  <si>
    <t>2025-2032</t>
  </si>
  <si>
    <t>2032-2045</t>
  </si>
  <si>
    <t>2045-2055</t>
  </si>
  <si>
    <t>20 years lifespan</t>
  </si>
  <si>
    <t>30 years</t>
  </si>
  <si>
    <t>Year 7</t>
  </si>
  <si>
    <t>Component 1</t>
  </si>
  <si>
    <t>Output 1.1</t>
  </si>
  <si>
    <t>Activity 1.1.1</t>
  </si>
  <si>
    <t>Sub-activity 1.1.1.1</t>
  </si>
  <si>
    <t>Sub-activity 1.1.1.2</t>
  </si>
  <si>
    <t>Sub-activity 1.1.1.3</t>
  </si>
  <si>
    <t>Activity 1.1.2</t>
  </si>
  <si>
    <t>Sub-activity 1.1.2.1</t>
  </si>
  <si>
    <t>Sub-activity 1.1.2.2</t>
  </si>
  <si>
    <t>Sub-activity 1.1.2.3</t>
  </si>
  <si>
    <t>Sub-activity 1.1.2.4</t>
  </si>
  <si>
    <t>Activity 1.1.3</t>
  </si>
  <si>
    <t>Sub-activity 1.1.3.1</t>
  </si>
  <si>
    <t>Sub-activity 1.1.3.2</t>
  </si>
  <si>
    <t>Activity 1.2.1</t>
  </si>
  <si>
    <t>Sub-activity 1.2.1.1</t>
  </si>
  <si>
    <t>Sub-activity 1.2.1.2</t>
  </si>
  <si>
    <t>Sub-activity 1.2.1.3</t>
  </si>
  <si>
    <t>Sub-activity 1.2.1.4</t>
  </si>
  <si>
    <t>sub-activity 1.2.1.5</t>
  </si>
  <si>
    <t>Developed land use plans which consider climate change and identified HCV/HCS areas</t>
  </si>
  <si>
    <t>Enabling Jurisdictional Approach (JA) certification for one regency as a replicable model to other regencies in West Kalimantan Province</t>
  </si>
  <si>
    <t>Elaborate strategies, policies, and procedures for one or several financing mechanisms for climate resilient agriculture and forestry</t>
  </si>
  <si>
    <t>Output 1.3</t>
  </si>
  <si>
    <t>Established and implemented dedicated grant mechanism provides adequate financing and meaningful engagement for IPLCs engaged in climate-resilient, low-emission forest and landscape management and further financing mechanisms have been assessed.</t>
  </si>
  <si>
    <t>Activity 1.3.1</t>
  </si>
  <si>
    <t>Developing sustainable financial mechanisms to ensure meaningful engagement of IPLCs and support climate-resilient and low emission forest and landscape management in West Kalimantan </t>
  </si>
  <si>
    <t>Sub-activity 1.3.1.1</t>
  </si>
  <si>
    <t>Implement an on-granting program focusing on Indigenous Peoples and Local Communities (IPLC) in West Kalimantan</t>
  </si>
  <si>
    <t>Sub-activity 1.3.1.2</t>
  </si>
  <si>
    <t>Component 2</t>
  </si>
  <si>
    <t>Output 2.1</t>
  </si>
  <si>
    <t>Benefitting local communities produce deforestation-free agricultural and agroforestry commodities, accessing new markets for sustainable products, while an M&amp;E framework is established that measures environmental compliance and ensures the scalability as well as replicability of sustainable practices.</t>
  </si>
  <si>
    <t>Activity 2.1.1</t>
  </si>
  <si>
    <t>Scaling up sustainable land and forest-based investment business model for West Kalimantanntan </t>
  </si>
  <si>
    <t>Sub-activity  2.1.1.1</t>
  </si>
  <si>
    <t>Design of a sustainable land and forest-based business model.</t>
  </si>
  <si>
    <t>Activity 2.1.2</t>
  </si>
  <si>
    <t>Sub-activity 2.1.2.1</t>
  </si>
  <si>
    <t xml:space="preserve"> Improved capacities to implement resilient and sustainable smallholder farming</t>
  </si>
  <si>
    <t>Sub-activity 2.1.2.2</t>
  </si>
  <si>
    <t>Climate-resilient commodity and agroforestry scaled with improved market access.</t>
  </si>
  <si>
    <t>Sub-activity 2.1.2.3</t>
  </si>
  <si>
    <t>Digital systems for value chain traceability and certification, and improved access to services </t>
  </si>
  <si>
    <t>Activity 2.1.3</t>
  </si>
  <si>
    <t>Sub-activity 2.1.3.1</t>
  </si>
  <si>
    <t>Establish a commodity-based platform at Regency level and engage with provincial, national and international MSPs to promote dialogue on sustainable forestry &amp; agriculture practices, investment into sustainable supply chains and sustainable sourcing practices</t>
  </si>
  <si>
    <t>Output 3.1</t>
  </si>
  <si>
    <t xml:space="preserve"> Capacitated FMUs and private sector actors incentivized to engage in implementing climate informed protection and sustainable management of forest and peat ecosystems. </t>
  </si>
  <si>
    <t>Activity 3.1.1</t>
  </si>
  <si>
    <t xml:space="preserve">Supporting Forest Management Units (FMU) in the development and implementation of climate-informed forest management plans, including fire management </t>
  </si>
  <si>
    <t>Sub-activity 3.1.1.1</t>
  </si>
  <si>
    <t>Sub-activity 3.1.1.2</t>
  </si>
  <si>
    <t>Supporting FMU Organizations in 5 regencies to receive the status of "Effective FMU Organization" </t>
  </si>
  <si>
    <t>Sub-activity 3.1.1.3</t>
  </si>
  <si>
    <t xml:space="preserve"> Capacity building for FMUs to implement climate-informed RPHJP and RPHJPd </t>
  </si>
  <si>
    <t>Sub-activity 3.1.1.4</t>
  </si>
  <si>
    <r>
      <t>Support FMU O</t>
    </r>
    <r>
      <rPr>
        <strike/>
        <sz val="11"/>
        <rFont val="Calibri"/>
        <family val="2"/>
        <scheme val="minor"/>
      </rPr>
      <t>o</t>
    </r>
    <r>
      <rPr>
        <sz val="11"/>
        <rFont val="Calibri"/>
        <family val="2"/>
        <scheme val="minor"/>
      </rPr>
      <t>rganizations in 5 target regencies in implementing climate-informed RPHJP and RPHJPd through the development of information systems and enhanced forest management practices </t>
    </r>
  </si>
  <si>
    <t>Activity 3.1.2</t>
  </si>
  <si>
    <t>Strengthened Systems for Community-based Conservation of Forests and Peatland Landscapes in Indonesia (CoPLI)</t>
  </si>
  <si>
    <t>Sub-activity 3.1.2.1</t>
  </si>
  <si>
    <t>Strengthening the institutional framework and financing</t>
  </si>
  <si>
    <t>Sub-activity 3.1.2.2</t>
  </si>
  <si>
    <t>Community-based management and conservation of peatland systems in targeted landscapes (implemented through</t>
  </si>
  <si>
    <t>Sub-activity 3.1.2.3</t>
  </si>
  <si>
    <t>Knowledge exchange for forest and peatland conservation and management</t>
  </si>
  <si>
    <t>Output 3.2</t>
  </si>
  <si>
    <t>Supported Local Communities able to receive land use rights and implement different social forestry schemes.</t>
  </si>
  <si>
    <t xml:space="preserve">Sub-activity 3.2.1.1 </t>
  </si>
  <si>
    <t>Sub-activity 3.2.1.2.</t>
  </si>
  <si>
    <t xml:space="preserve">Sub-activity 3.2.1.3. </t>
  </si>
  <si>
    <t xml:space="preserve">Sub-activity 3.2.1.4 </t>
  </si>
  <si>
    <t xml:space="preserve">Sub-activity 3.2.1.5. </t>
  </si>
  <si>
    <t>Sub-activity 3.2.1.6.</t>
  </si>
  <si>
    <t>Sub-activity 3.2.1.7</t>
  </si>
  <si>
    <t>Social Forestry Support Programme implemented by KfW</t>
  </si>
  <si>
    <t>Sub-activity 3.2.1.8</t>
  </si>
  <si>
    <t xml:space="preserve">Channeling dedicated GCF fund (under this proposal) to IPLC groups to demonstrate institutional capabilities in climate mitigation &amp; improve livelihood for climate adaptation </t>
  </si>
  <si>
    <t xml:space="preserve"> Identify areas and develop management plans for High Biodiversity and Carbon Areas within non-state forest land across West Kalimantan Province.</t>
  </si>
  <si>
    <t>Component 3</t>
  </si>
  <si>
    <t>Component</t>
  </si>
  <si>
    <t>Output 1.2</t>
  </si>
  <si>
    <t>Activity 2.1.4</t>
  </si>
  <si>
    <t>GRASS - Greening Agricultural Smallholder Supply Chains in Kapuas Hulu</t>
  </si>
  <si>
    <t>Sub-activity 2.1.4.1</t>
  </si>
  <si>
    <t>Activity 2.1.5</t>
  </si>
  <si>
    <t xml:space="preserve">Improving sustainable landscape management and smallholder palm oil market inclusion </t>
  </si>
  <si>
    <t>Sub-Activity 2.1.5.1a</t>
  </si>
  <si>
    <t>Sustainable palm MSP’s delivering on their commitments in key forest rich landscapes</t>
  </si>
  <si>
    <t>Sub-Activity 2.1.5.1b</t>
  </si>
  <si>
    <t>Investment and sourcing secured from partner companies in sustainable ag and forest restoration</t>
  </si>
  <si>
    <t>Sub-Activity 2.1.5.2</t>
  </si>
  <si>
    <t xml:space="preserve">Farmer empowerment and training to increase yields, climate resilience and gender inclusivity </t>
  </si>
  <si>
    <t>Sub-Activity 2.1.5.3</t>
  </si>
  <si>
    <t>Dialogue, brokering and de-risking of SH sourcing by international companies</t>
  </si>
  <si>
    <t>Sub-Activity 2.1.5.4a</t>
  </si>
  <si>
    <t xml:space="preserve">Advice and insights on delivery of SH inclusive traceability with producer govts, companies and the EU </t>
  </si>
  <si>
    <t>Sub-Activity 2.1.5.4b</t>
  </si>
  <si>
    <t>Purpose-driven convening and dialogue with producer and consumer governments</t>
  </si>
  <si>
    <t>Output</t>
  </si>
  <si>
    <t xml:space="preserve">Component 1 : Regulatory frameworks </t>
  </si>
  <si>
    <t xml:space="preserve">Component 2 : Agriculture and agroforestry practices </t>
  </si>
  <si>
    <t xml:space="preserve">Component 3 : Community-based Forest Management </t>
  </si>
  <si>
    <t>Enhance of forest carbon stock (EFCS) - Biomass (absolute value)</t>
  </si>
  <si>
    <t>Total FRL (Removal)</t>
  </si>
  <si>
    <t>Total FREL (Emission)</t>
  </si>
  <si>
    <t>Implied Efs (tCO2e)</t>
  </si>
  <si>
    <t>mean (tCO2e)</t>
  </si>
  <si>
    <t>Net FREL/FRL</t>
  </si>
  <si>
    <t>Total Emission (FREL)</t>
  </si>
  <si>
    <t>Total removal (FRL)</t>
  </si>
  <si>
    <t>Total net emission (FREL/FRL)</t>
  </si>
  <si>
    <t>EFCS (removal)</t>
  </si>
  <si>
    <t>EFCS (peat emission)</t>
  </si>
  <si>
    <t>Develop and implement SF management plans for IPLC and support new SF permit proposal for local communities.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</si>
</sst>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41" formatCode="_-* #,##0_-;\-* #,##0_-;_-* &quot;-&quot;_-;_-@_-"/>
    <numFmt numFmtId="43" formatCode="_-* #,##0.00_-;\-* #,##0.00_-;_-* &quot;-&quot;??_-;_-@_-"/>
    <numFmt numFmtId="164" formatCode="_(* #,##0.00_);_(* \(#,##0.00\);_(* &quot;-&quot;??_);_(@_)"/>
    <numFmt numFmtId="165" formatCode="_-* #,##0_-;\-* #,##0_-;_-* &quot;-&quot;??_-;_-@_-"/>
    <numFmt numFmtId="166" formatCode="_(* #,##0_);_(* \(#,##0\);_(* &quot;-&quot;??_);_(@_)"/>
    <numFmt numFmtId="167" formatCode="0.0"/>
    <numFmt numFmtId="168" formatCode="0.0%"/>
    <numFmt numFmtId="169" formatCode="0.000%"/>
    <numFmt numFmtId="170" formatCode="0.00000%"/>
  </numFmts>
  <fonts count="32" x14ac:knownFonts="1">
    <font>
      <sz val="11"/>
      <color theme="1"/>
      <name val="Calibri"/>
      <family val="2"/>
      <scheme val="minor"/>
    </font>
    <font>
      <sz val="11"/>
      <color theme="1"/>
      <name val="Calibri"/>
      <family val="2"/>
      <scheme val="minor"/>
    </font>
    <font>
      <b/>
      <sz val="11"/>
      <color theme="1"/>
      <name val="Calibri"/>
      <family val="2"/>
      <scheme val="minor"/>
    </font>
    <font>
      <sz val="10"/>
      <color rgb="FF000000"/>
      <name val="Arial"/>
      <family val="2"/>
    </font>
    <font>
      <sz val="10"/>
      <name val="Arial"/>
      <family val="2"/>
    </font>
    <font>
      <b/>
      <sz val="10"/>
      <name val="Arial"/>
      <family val="2"/>
    </font>
    <font>
      <sz val="11"/>
      <color rgb="FFFF0000"/>
      <name val="Calibri"/>
      <family val="2"/>
      <scheme val="minor"/>
    </font>
    <font>
      <b/>
      <sz val="11"/>
      <name val="Calibri"/>
      <family val="2"/>
      <scheme val="minor"/>
    </font>
    <font>
      <sz val="11"/>
      <name val="Calibri"/>
      <family val="2"/>
      <scheme val="minor"/>
    </font>
    <font>
      <b/>
      <sz val="10"/>
      <color theme="1"/>
      <name val="Arial"/>
      <family val="2"/>
    </font>
    <font>
      <sz val="10"/>
      <color theme="1"/>
      <name val="Arial"/>
      <family val="2"/>
    </font>
    <font>
      <sz val="10"/>
      <color rgb="FFFF0000"/>
      <name val="Arial"/>
      <family val="2"/>
    </font>
    <font>
      <sz val="11"/>
      <color theme="1"/>
      <name val="Calibri"/>
      <family val="2"/>
      <charset val="1"/>
      <scheme val="minor"/>
    </font>
    <font>
      <sz val="8"/>
      <color theme="1"/>
      <name val="Calibri"/>
      <family val="2"/>
      <charset val="1"/>
      <scheme val="minor"/>
    </font>
    <font>
      <sz val="9"/>
      <color theme="1"/>
      <name val="Calibri"/>
      <family val="2"/>
      <charset val="1"/>
      <scheme val="minor"/>
    </font>
    <font>
      <sz val="9"/>
      <color theme="1"/>
      <name val="Calibri"/>
      <family val="2"/>
      <scheme val="minor"/>
    </font>
    <font>
      <b/>
      <sz val="9"/>
      <color theme="1"/>
      <name val="Calibri"/>
      <family val="2"/>
      <scheme val="minor"/>
    </font>
    <font>
      <b/>
      <sz val="8"/>
      <color theme="1"/>
      <name val="Calibri"/>
      <family val="2"/>
      <scheme val="minor"/>
    </font>
    <font>
      <sz val="8"/>
      <name val="Calibri"/>
      <family val="2"/>
      <scheme val="minor"/>
    </font>
    <font>
      <strike/>
      <sz val="11"/>
      <name val="Calibri"/>
      <family val="2"/>
      <scheme val="minor"/>
    </font>
    <font>
      <b/>
      <strike/>
      <sz val="11"/>
      <name val="Calibri"/>
      <family val="2"/>
      <scheme val="minor"/>
    </font>
    <font>
      <b/>
      <sz val="9"/>
      <name val="Calibri"/>
      <family val="2"/>
      <scheme val="minor"/>
    </font>
    <font>
      <b/>
      <sz val="9"/>
      <color theme="4"/>
      <name val="Calibri"/>
      <family val="2"/>
      <scheme val="minor"/>
    </font>
    <font>
      <b/>
      <sz val="11"/>
      <color theme="4" tint="-0.249977111117893"/>
      <name val="Calibri"/>
      <family val="2"/>
      <scheme val="minor"/>
    </font>
    <font>
      <b/>
      <sz val="10"/>
      <color rgb="FF000000"/>
      <name val="Arial"/>
      <family val="2"/>
    </font>
    <font>
      <sz val="10"/>
      <color rgb="FF44546A"/>
      <name val="Tahoma"/>
      <family val="2"/>
    </font>
    <font>
      <sz val="9"/>
      <color rgb="FF000000"/>
      <name val="Calibri"/>
      <family val="2"/>
      <scheme val="minor"/>
    </font>
    <font>
      <b/>
      <sz val="9"/>
      <color rgb="FF000000"/>
      <name val="Calibri"/>
      <family val="2"/>
      <scheme val="minor"/>
    </font>
    <font>
      <sz val="9"/>
      <color indexed="81"/>
      <name val="Tahoma"/>
      <family val="2"/>
    </font>
    <font>
      <b/>
      <sz val="11"/>
      <color rgb="FFFF0000"/>
      <name val="Calibri"/>
      <family val="2"/>
      <scheme val="minor"/>
    </font>
    <font>
      <b/>
      <sz val="9"/>
      <color indexed="81"/>
      <name val="Tahoma"/>
      <family val="2"/>
    </font>
    <font>
      <sz val="9"/>
      <color rgb="FFFF0000"/>
      <name val="Arial"/>
      <family val="2"/>
    </font>
  </fonts>
  <fills count="19">
    <fill>
      <patternFill patternType="none"/>
    </fill>
    <fill>
      <patternFill patternType="gray125"/>
    </fill>
    <fill>
      <patternFill patternType="solid">
        <fgColor theme="9" tint="0.79998168889431442"/>
        <bgColor indexed="64"/>
      </patternFill>
    </fill>
    <fill>
      <patternFill patternType="solid">
        <fgColor theme="2"/>
        <bgColor indexed="64"/>
      </patternFill>
    </fill>
    <fill>
      <patternFill patternType="solid">
        <fgColor theme="7" tint="0.79998168889431442"/>
        <bgColor indexed="64"/>
      </patternFill>
    </fill>
    <fill>
      <patternFill patternType="solid">
        <fgColor theme="8" tint="0.79998168889431442"/>
        <bgColor indexed="64"/>
      </patternFill>
    </fill>
    <fill>
      <patternFill patternType="solid">
        <fgColor rgb="FF92D050"/>
        <bgColor indexed="64"/>
      </patternFill>
    </fill>
    <fill>
      <patternFill patternType="solid">
        <fgColor rgb="FF00B0F0"/>
        <bgColor indexed="64"/>
      </patternFill>
    </fill>
    <fill>
      <patternFill patternType="solid">
        <fgColor theme="4" tint="0.79998168889431442"/>
        <bgColor indexed="64"/>
      </patternFill>
    </fill>
    <fill>
      <patternFill patternType="solid">
        <fgColor theme="4" tint="0.79998168889431442"/>
        <bgColor theme="4" tint="0.79998168889431442"/>
      </patternFill>
    </fill>
    <fill>
      <patternFill patternType="solid">
        <fgColor theme="5" tint="0.79998168889431442"/>
        <bgColor indexed="64"/>
      </patternFill>
    </fill>
    <fill>
      <patternFill patternType="solid">
        <fgColor rgb="FFD9E1F2"/>
        <bgColor indexed="64"/>
      </patternFill>
    </fill>
    <fill>
      <patternFill patternType="solid">
        <fgColor rgb="FFF4F9F1"/>
        <bgColor indexed="64"/>
      </patternFill>
    </fill>
    <fill>
      <patternFill patternType="solid">
        <fgColor theme="0" tint="-4.9989318521683403E-2"/>
        <bgColor indexed="64"/>
      </patternFill>
    </fill>
    <fill>
      <patternFill patternType="solid">
        <fgColor rgb="FFFDEFE7"/>
        <bgColor indexed="64"/>
      </patternFill>
    </fill>
    <fill>
      <patternFill patternType="solid">
        <fgColor rgb="FFFFF6DD"/>
        <bgColor indexed="64"/>
      </patternFill>
    </fill>
    <fill>
      <patternFill patternType="solid">
        <fgColor rgb="FFE9EDF7"/>
        <bgColor indexed="64"/>
      </patternFill>
    </fill>
    <fill>
      <patternFill patternType="solid">
        <fgColor theme="0" tint="-0.34998626667073579"/>
        <bgColor indexed="64"/>
      </patternFill>
    </fill>
    <fill>
      <patternFill patternType="solid">
        <fgColor rgb="FFFFFF00"/>
        <bgColor indexed="64"/>
      </patternFill>
    </fill>
  </fills>
  <borders count="3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style="thin">
        <color indexed="64"/>
      </top>
      <bottom style="thin">
        <color indexed="64"/>
      </bottom>
      <diagonal/>
    </border>
    <border>
      <left/>
      <right/>
      <top style="thin">
        <color indexed="64"/>
      </top>
      <bottom/>
      <diagonal/>
    </border>
    <border>
      <left/>
      <right/>
      <top/>
      <bottom style="thin">
        <color indexed="64"/>
      </bottom>
      <diagonal/>
    </border>
    <border>
      <left/>
      <right/>
      <top style="thin">
        <color auto="1"/>
      </top>
      <bottom style="thin">
        <color auto="1"/>
      </bottom>
      <diagonal/>
    </border>
    <border>
      <left/>
      <right/>
      <top style="thin">
        <color indexed="64"/>
      </top>
      <bottom style="double">
        <color indexed="64"/>
      </bottom>
      <diagonal/>
    </border>
    <border>
      <left/>
      <right/>
      <top/>
      <bottom style="thin">
        <color theme="4" tint="0.39997558519241921"/>
      </bottom>
      <diagonal/>
    </border>
    <border>
      <left/>
      <right/>
      <top style="thin">
        <color indexed="64"/>
      </top>
      <bottom style="thin">
        <color theme="4" tint="0.39997558519241921"/>
      </bottom>
      <diagonal/>
    </border>
    <border>
      <left style="thin">
        <color indexed="64"/>
      </left>
      <right style="thin">
        <color indexed="64"/>
      </right>
      <top/>
      <bottom style="thin">
        <color indexed="64"/>
      </bottom>
      <diagonal/>
    </border>
    <border>
      <left/>
      <right style="thin">
        <color indexed="64"/>
      </right>
      <top/>
      <bottom/>
      <diagonal/>
    </border>
    <border>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thin">
        <color indexed="64"/>
      </left>
      <right/>
      <top style="thin">
        <color indexed="64"/>
      </top>
      <bottom style="thin">
        <color theme="4" tint="0.39997558519241921"/>
      </bottom>
      <diagonal/>
    </border>
    <border>
      <left style="thin">
        <color indexed="64"/>
      </left>
      <right/>
      <top/>
      <bottom style="thin">
        <color theme="4" tint="0.39997558519241921"/>
      </bottom>
      <diagonal/>
    </border>
    <border>
      <left style="thin">
        <color indexed="64"/>
      </left>
      <right/>
      <top/>
      <bottom style="thin">
        <color indexed="64"/>
      </bottom>
      <diagonal/>
    </border>
    <border>
      <left style="thin">
        <color indexed="64"/>
      </left>
      <right/>
      <top style="thin">
        <color theme="4" tint="0.39997558519241921"/>
      </top>
      <bottom style="thin">
        <color indexed="64"/>
      </bottom>
      <diagonal/>
    </border>
    <border>
      <left/>
      <right/>
      <top style="thin">
        <color theme="4" tint="0.39997558519241921"/>
      </top>
      <bottom style="thin">
        <color indexed="64"/>
      </bottom>
      <diagonal/>
    </border>
    <border>
      <left/>
      <right style="thin">
        <color indexed="64"/>
      </right>
      <top style="thin">
        <color theme="4" tint="0.39997558519241921"/>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style="thin">
        <color theme="4" tint="0.39997558519241921"/>
      </top>
      <bottom/>
      <diagonal/>
    </border>
  </borders>
  <cellStyleXfs count="13">
    <xf numFmtId="0" fontId="0" fillId="0" borderId="0"/>
    <xf numFmtId="164" fontId="1" fillId="0" borderId="0" applyFont="0" applyFill="0" applyBorder="0" applyAlignment="0" applyProtection="0"/>
    <xf numFmtId="9" fontId="1" fillId="0" borderId="0" applyFont="0" applyFill="0" applyBorder="0" applyAlignment="0" applyProtection="0"/>
    <xf numFmtId="0" fontId="4" fillId="0" borderId="0"/>
    <xf numFmtId="43" fontId="1" fillId="0" borderId="0" applyFont="0" applyFill="0" applyBorder="0" applyAlignment="0" applyProtection="0"/>
    <xf numFmtId="0" fontId="4" fillId="0" borderId="0" applyNumberFormat="0" applyFill="0" applyBorder="0" applyAlignment="0" applyProtection="0"/>
    <xf numFmtId="164" fontId="1" fillId="0" borderId="0" applyFont="0" applyFill="0" applyBorder="0" applyAlignment="0" applyProtection="0"/>
    <xf numFmtId="9" fontId="1" fillId="0" borderId="0" applyFont="0" applyFill="0" applyBorder="0" applyAlignment="0" applyProtection="0"/>
    <xf numFmtId="43" fontId="1" fillId="0" borderId="0" applyFont="0" applyFill="0" applyBorder="0" applyAlignment="0" applyProtection="0"/>
    <xf numFmtId="43" fontId="4" fillId="0" borderId="0" applyFont="0" applyFill="0" applyBorder="0" applyAlignment="0" applyProtection="0"/>
    <xf numFmtId="0" fontId="12" fillId="0" borderId="0"/>
    <xf numFmtId="164" fontId="12" fillId="0" borderId="0" applyFont="0" applyFill="0" applyBorder="0" applyAlignment="0" applyProtection="0"/>
    <xf numFmtId="41" fontId="1" fillId="0" borderId="0" applyFont="0" applyFill="0" applyBorder="0" applyAlignment="0" applyProtection="0"/>
  </cellStyleXfs>
  <cellXfs count="327">
    <xf numFmtId="0" fontId="0" fillId="0" borderId="0" xfId="0"/>
    <xf numFmtId="0" fontId="3" fillId="0" borderId="1" xfId="0" applyFont="1" applyBorder="1" applyAlignment="1">
      <alignment horizontal="left" vertical="center" wrapText="1"/>
    </xf>
    <xf numFmtId="0" fontId="4" fillId="0" borderId="1" xfId="3" applyBorder="1"/>
    <xf numFmtId="0" fontId="0" fillId="0" borderId="0" xfId="0" applyAlignment="1">
      <alignment wrapText="1"/>
    </xf>
    <xf numFmtId="0" fontId="5" fillId="0" borderId="1" xfId="3" applyFont="1" applyBorder="1" applyAlignment="1">
      <alignment horizontal="center" vertical="center" wrapText="1"/>
    </xf>
    <xf numFmtId="0" fontId="2" fillId="0" borderId="1" xfId="0" applyFont="1" applyBorder="1" applyAlignment="1">
      <alignment horizontal="center" vertical="center"/>
    </xf>
    <xf numFmtId="0" fontId="2" fillId="0" borderId="0" xfId="0" applyFont="1"/>
    <xf numFmtId="0" fontId="0" fillId="0" borderId="1" xfId="0" applyBorder="1"/>
    <xf numFmtId="0" fontId="0" fillId="0" borderId="1" xfId="0" applyBorder="1" applyAlignment="1">
      <alignment wrapText="1"/>
    </xf>
    <xf numFmtId="0" fontId="4" fillId="0" borderId="0" xfId="5"/>
    <xf numFmtId="0" fontId="4" fillId="0" borderId="0" xfId="5" applyBorder="1"/>
    <xf numFmtId="9" fontId="4" fillId="0" borderId="0" xfId="2" applyFont="1" applyFill="1" applyBorder="1" applyAlignment="1">
      <alignment wrapText="1"/>
    </xf>
    <xf numFmtId="0" fontId="5" fillId="7" borderId="10" xfId="4" applyNumberFormat="1" applyFont="1" applyFill="1" applyBorder="1" applyAlignment="1">
      <alignment horizontal="center" vertical="center"/>
    </xf>
    <xf numFmtId="0" fontId="5" fillId="7" borderId="10" xfId="2" applyNumberFormat="1" applyFont="1" applyFill="1" applyBorder="1" applyAlignment="1">
      <alignment horizontal="center" vertical="center" wrapText="1"/>
    </xf>
    <xf numFmtId="0" fontId="5" fillId="7" borderId="10" xfId="5" applyNumberFormat="1" applyFont="1" applyFill="1" applyBorder="1" applyAlignment="1">
      <alignment horizontal="center" vertical="center"/>
    </xf>
    <xf numFmtId="0" fontId="5" fillId="7" borderId="10" xfId="7" applyNumberFormat="1" applyFont="1" applyFill="1" applyBorder="1" applyAlignment="1">
      <alignment horizontal="center" vertical="center" wrapText="1"/>
    </xf>
    <xf numFmtId="0" fontId="4" fillId="0" borderId="0" xfId="2" applyNumberFormat="1" applyFont="1" applyBorder="1" applyAlignment="1">
      <alignment wrapText="1"/>
    </xf>
    <xf numFmtId="167" fontId="4" fillId="0" borderId="0" xfId="0" applyNumberFormat="1" applyFont="1"/>
    <xf numFmtId="166" fontId="4" fillId="0" borderId="0" xfId="4" applyNumberFormat="1" applyFont="1" applyBorder="1" applyAlignment="1">
      <alignment wrapText="1"/>
    </xf>
    <xf numFmtId="167" fontId="4" fillId="0" borderId="0" xfId="5" applyNumberFormat="1" applyBorder="1"/>
    <xf numFmtId="166" fontId="4" fillId="0" borderId="0" xfId="8" applyNumberFormat="1" applyFont="1" applyBorder="1" applyAlignment="1">
      <alignment wrapText="1"/>
    </xf>
    <xf numFmtId="0" fontId="5" fillId="8" borderId="9" xfId="5" applyNumberFormat="1" applyFont="1" applyFill="1" applyBorder="1"/>
    <xf numFmtId="166" fontId="5" fillId="8" borderId="9" xfId="4" applyNumberFormat="1" applyFont="1" applyFill="1" applyBorder="1" applyAlignment="1">
      <alignment wrapText="1"/>
    </xf>
    <xf numFmtId="167" fontId="5" fillId="8" borderId="9" xfId="5" applyNumberFormat="1" applyFont="1" applyFill="1" applyBorder="1"/>
    <xf numFmtId="166" fontId="5" fillId="8" borderId="9" xfId="8" applyNumberFormat="1" applyFont="1" applyFill="1" applyBorder="1" applyAlignment="1">
      <alignment wrapText="1"/>
    </xf>
    <xf numFmtId="0" fontId="4" fillId="0" borderId="0" xfId="5" applyAlignment="1">
      <alignment wrapText="1"/>
    </xf>
    <xf numFmtId="165" fontId="4" fillId="0" borderId="1" xfId="4" applyNumberFormat="1" applyFont="1" applyBorder="1"/>
    <xf numFmtId="167" fontId="4" fillId="0" borderId="1" xfId="0" applyNumberFormat="1" applyFont="1" applyBorder="1"/>
    <xf numFmtId="0" fontId="5" fillId="7" borderId="1" xfId="4" applyNumberFormat="1" applyFont="1" applyFill="1" applyBorder="1" applyAlignment="1">
      <alignment horizontal="center" vertical="center"/>
    </xf>
    <xf numFmtId="0" fontId="4" fillId="0" borderId="1" xfId="2" applyNumberFormat="1" applyFont="1" applyBorder="1" applyAlignment="1">
      <alignment wrapText="1"/>
    </xf>
    <xf numFmtId="0" fontId="5" fillId="8" borderId="1" xfId="5" applyNumberFormat="1" applyFont="1" applyFill="1" applyBorder="1"/>
    <xf numFmtId="0" fontId="5" fillId="7" borderId="1" xfId="2" applyNumberFormat="1" applyFont="1" applyFill="1" applyBorder="1" applyAlignment="1">
      <alignment horizontal="center" vertical="center" wrapText="1"/>
    </xf>
    <xf numFmtId="166" fontId="4" fillId="0" borderId="1" xfId="4" applyNumberFormat="1" applyFont="1" applyBorder="1" applyAlignment="1">
      <alignment wrapText="1"/>
    </xf>
    <xf numFmtId="166" fontId="5" fillId="8" borderId="1" xfId="4" applyNumberFormat="1" applyFont="1" applyFill="1" applyBorder="1" applyAlignment="1">
      <alignment wrapText="1"/>
    </xf>
    <xf numFmtId="0" fontId="5" fillId="7" borderId="1" xfId="5" applyNumberFormat="1" applyFont="1" applyFill="1" applyBorder="1" applyAlignment="1">
      <alignment horizontal="center" vertical="center"/>
    </xf>
    <xf numFmtId="167" fontId="4" fillId="0" borderId="1" xfId="5" applyNumberFormat="1" applyBorder="1"/>
    <xf numFmtId="167" fontId="5" fillId="8" borderId="1" xfId="5" applyNumberFormat="1" applyFont="1" applyFill="1" applyBorder="1"/>
    <xf numFmtId="0" fontId="5" fillId="7" borderId="1" xfId="7" applyNumberFormat="1" applyFont="1" applyFill="1" applyBorder="1" applyAlignment="1">
      <alignment horizontal="center" vertical="center" wrapText="1"/>
    </xf>
    <xf numFmtId="166" fontId="4" fillId="0" borderId="1" xfId="8" applyNumberFormat="1" applyFont="1" applyBorder="1" applyAlignment="1">
      <alignment wrapText="1"/>
    </xf>
    <xf numFmtId="166" fontId="5" fillId="8" borderId="1" xfId="8" applyNumberFormat="1" applyFont="1" applyFill="1" applyBorder="1" applyAlignment="1">
      <alignment wrapText="1"/>
    </xf>
    <xf numFmtId="0" fontId="5" fillId="7" borderId="1" xfId="0" applyFont="1" applyFill="1" applyBorder="1" applyAlignment="1">
      <alignment horizontal="center"/>
    </xf>
    <xf numFmtId="166" fontId="5" fillId="5" borderId="1" xfId="6" applyNumberFormat="1" applyFont="1" applyFill="1" applyBorder="1"/>
    <xf numFmtId="0" fontId="4" fillId="0" borderId="0" xfId="3"/>
    <xf numFmtId="0" fontId="4" fillId="0" borderId="1" xfId="3" applyBorder="1" applyAlignment="1">
      <alignment horizontal="center" vertical="center" wrapText="1"/>
    </xf>
    <xf numFmtId="0" fontId="9" fillId="9" borderId="1" xfId="3" applyFont="1" applyFill="1" applyBorder="1" applyAlignment="1">
      <alignment horizontal="center" vertical="center" wrapText="1"/>
    </xf>
    <xf numFmtId="0" fontId="9" fillId="9" borderId="4" xfId="3" applyFont="1" applyFill="1" applyBorder="1" applyAlignment="1">
      <alignment horizontal="center" vertical="center" wrapText="1"/>
    </xf>
    <xf numFmtId="0" fontId="5" fillId="8" borderId="1" xfId="2" applyNumberFormat="1" applyFont="1" applyFill="1" applyBorder="1" applyAlignment="1">
      <alignment horizontal="center" vertical="center" wrapText="1"/>
    </xf>
    <xf numFmtId="0" fontId="4" fillId="0" borderId="0" xfId="3" applyAlignment="1">
      <alignment horizontal="center" vertical="center" wrapText="1"/>
    </xf>
    <xf numFmtId="165" fontId="0" fillId="0" borderId="1" xfId="9" applyNumberFormat="1" applyFont="1" applyFill="1" applyBorder="1"/>
    <xf numFmtId="165" fontId="10" fillId="0" borderId="1" xfId="9" applyNumberFormat="1" applyFont="1" applyFill="1" applyBorder="1"/>
    <xf numFmtId="165" fontId="4" fillId="0" borderId="1" xfId="9" applyNumberFormat="1" applyBorder="1"/>
    <xf numFmtId="9" fontId="0" fillId="0" borderId="1" xfId="2" applyFont="1" applyFill="1" applyBorder="1"/>
    <xf numFmtId="165" fontId="0" fillId="0" borderId="0" xfId="9" applyNumberFormat="1" applyFont="1"/>
    <xf numFmtId="165" fontId="11" fillId="0" borderId="1" xfId="9" applyNumberFormat="1" applyFont="1" applyFill="1" applyBorder="1"/>
    <xf numFmtId="9" fontId="6" fillId="0" borderId="1" xfId="2" applyFont="1" applyFill="1" applyBorder="1"/>
    <xf numFmtId="165" fontId="4" fillId="0" borderId="0" xfId="9" applyNumberFormat="1"/>
    <xf numFmtId="165" fontId="0" fillId="0" borderId="0" xfId="9" applyNumberFormat="1" applyFont="1" applyFill="1"/>
    <xf numFmtId="0" fontId="9" fillId="0" borderId="3" xfId="3" applyFont="1" applyBorder="1" applyAlignment="1">
      <alignment horizontal="center" vertical="center" wrapText="1"/>
    </xf>
    <xf numFmtId="165" fontId="4" fillId="0" borderId="1" xfId="9" applyNumberFormat="1" applyFont="1" applyFill="1" applyBorder="1"/>
    <xf numFmtId="165" fontId="11" fillId="0" borderId="1" xfId="9" applyNumberFormat="1" applyFont="1" applyBorder="1"/>
    <xf numFmtId="0" fontId="2" fillId="0" borderId="0" xfId="10" applyFont="1"/>
    <xf numFmtId="0" fontId="13" fillId="0" borderId="0" xfId="10" applyFont="1"/>
    <xf numFmtId="0" fontId="14" fillId="0" borderId="0" xfId="10" applyFont="1"/>
    <xf numFmtId="164" fontId="15" fillId="0" borderId="0" xfId="11" applyFont="1" applyFill="1" applyBorder="1"/>
    <xf numFmtId="164" fontId="16" fillId="0" borderId="1" xfId="11" applyFont="1" applyFill="1" applyBorder="1" applyAlignment="1">
      <alignment horizontal="center" vertical="center" wrapText="1"/>
    </xf>
    <xf numFmtId="164" fontId="15" fillId="2" borderId="1" xfId="6" applyFont="1" applyFill="1" applyBorder="1"/>
    <xf numFmtId="0" fontId="15" fillId="2" borderId="1" xfId="10" applyFont="1" applyFill="1" applyBorder="1"/>
    <xf numFmtId="164" fontId="15" fillId="2" borderId="1" xfId="11" applyFont="1" applyFill="1" applyBorder="1"/>
    <xf numFmtId="164" fontId="15" fillId="10" borderId="1" xfId="6" applyFont="1" applyFill="1" applyBorder="1"/>
    <xf numFmtId="0" fontId="15" fillId="10" borderId="1" xfId="10" applyFont="1" applyFill="1" applyBorder="1"/>
    <xf numFmtId="164" fontId="15" fillId="10" borderId="1" xfId="11" applyFont="1" applyFill="1" applyBorder="1" applyAlignment="1">
      <alignment horizontal="center" vertical="center"/>
    </xf>
    <xf numFmtId="164" fontId="15" fillId="10" borderId="1" xfId="6" applyFont="1" applyFill="1" applyBorder="1" applyAlignment="1">
      <alignment horizontal="center" vertical="center"/>
    </xf>
    <xf numFmtId="0" fontId="17" fillId="0" borderId="0" xfId="10" applyFont="1" applyAlignment="1">
      <alignment horizontal="center" vertical="center"/>
    </xf>
    <xf numFmtId="164" fontId="15" fillId="10" borderId="1" xfId="6" applyFont="1" applyFill="1" applyBorder="1" applyAlignment="1">
      <alignment horizontal="left"/>
    </xf>
    <xf numFmtId="164" fontId="13" fillId="2" borderId="1" xfId="10" applyNumberFormat="1" applyFont="1" applyFill="1" applyBorder="1"/>
    <xf numFmtId="164" fontId="13" fillId="10" borderId="1" xfId="10" applyNumberFormat="1" applyFont="1" applyFill="1" applyBorder="1"/>
    <xf numFmtId="164" fontId="17" fillId="10" borderId="1" xfId="10" applyNumberFormat="1" applyFont="1" applyFill="1" applyBorder="1" applyAlignment="1">
      <alignment horizontal="center" vertical="center"/>
    </xf>
    <xf numFmtId="0" fontId="8" fillId="0" borderId="0" xfId="0" applyFont="1" applyAlignment="1">
      <alignment horizontal="left" vertical="center" wrapText="1"/>
    </xf>
    <xf numFmtId="0" fontId="16" fillId="6" borderId="1" xfId="0" applyFont="1" applyFill="1" applyBorder="1" applyAlignment="1">
      <alignment horizontal="center" vertical="center" wrapText="1"/>
    </xf>
    <xf numFmtId="0" fontId="21" fillId="2" borderId="1" xfId="2" applyNumberFormat="1" applyFont="1" applyFill="1" applyBorder="1" applyAlignment="1">
      <alignment horizontal="center" vertical="center" wrapText="1"/>
    </xf>
    <xf numFmtId="0" fontId="21" fillId="3" borderId="1" xfId="2" applyNumberFormat="1" applyFont="1" applyFill="1" applyBorder="1" applyAlignment="1">
      <alignment horizontal="center" vertical="center" wrapText="1"/>
    </xf>
    <xf numFmtId="0" fontId="21" fillId="4" borderId="1" xfId="2" applyNumberFormat="1" applyFont="1" applyFill="1" applyBorder="1" applyAlignment="1">
      <alignment horizontal="center" vertical="center" wrapText="1"/>
    </xf>
    <xf numFmtId="0" fontId="21" fillId="5" borderId="1" xfId="2" applyNumberFormat="1" applyFont="1" applyFill="1" applyBorder="1" applyAlignment="1">
      <alignment horizontal="center" vertical="center" wrapText="1"/>
    </xf>
    <xf numFmtId="0" fontId="21" fillId="5" borderId="2" xfId="2" applyNumberFormat="1" applyFont="1" applyFill="1" applyBorder="1" applyAlignment="1">
      <alignment horizontal="center" vertical="center" wrapText="1"/>
    </xf>
    <xf numFmtId="0" fontId="22" fillId="3" borderId="1" xfId="2" applyNumberFormat="1" applyFont="1" applyFill="1" applyBorder="1" applyAlignment="1">
      <alignment horizontal="center" vertical="center" wrapText="1"/>
    </xf>
    <xf numFmtId="0" fontId="22" fillId="4" borderId="1" xfId="2" applyNumberFormat="1" applyFont="1" applyFill="1" applyBorder="1" applyAlignment="1">
      <alignment horizontal="center" vertical="center" wrapText="1"/>
    </xf>
    <xf numFmtId="0" fontId="22" fillId="5" borderId="1" xfId="2" applyNumberFormat="1" applyFont="1" applyFill="1" applyBorder="1" applyAlignment="1">
      <alignment horizontal="center" vertical="center" wrapText="1"/>
    </xf>
    <xf numFmtId="0" fontId="22" fillId="5" borderId="2" xfId="2" applyNumberFormat="1" applyFont="1" applyFill="1" applyBorder="1" applyAlignment="1">
      <alignment horizontal="center" vertical="center" wrapText="1"/>
    </xf>
    <xf numFmtId="0" fontId="21" fillId="2" borderId="6" xfId="2" applyNumberFormat="1" applyFont="1" applyFill="1" applyBorder="1" applyAlignment="1">
      <alignment horizontal="center" vertical="center" wrapText="1"/>
    </xf>
    <xf numFmtId="0" fontId="7" fillId="0" borderId="1" xfId="0" applyFont="1" applyBorder="1" applyAlignment="1">
      <alignment horizontal="left" vertical="center" wrapText="1"/>
    </xf>
    <xf numFmtId="0" fontId="2" fillId="0" borderId="1" xfId="0" applyFont="1" applyBorder="1"/>
    <xf numFmtId="0" fontId="5" fillId="0" borderId="1" xfId="0" applyFont="1" applyBorder="1" applyAlignment="1">
      <alignment horizontal="left" vertical="center" wrapText="1"/>
    </xf>
    <xf numFmtId="0" fontId="4" fillId="0" borderId="1" xfId="0" applyFont="1" applyBorder="1" applyAlignment="1">
      <alignment horizontal="left" vertical="center" wrapText="1"/>
    </xf>
    <xf numFmtId="0" fontId="8" fillId="0" borderId="1" xfId="0" applyFont="1" applyBorder="1" applyAlignment="1">
      <alignment horizontal="left" vertical="center" wrapText="1"/>
    </xf>
    <xf numFmtId="0" fontId="7" fillId="0" borderId="1" xfId="0" applyFont="1" applyBorder="1" applyAlignment="1">
      <alignment horizontal="center" vertical="center" wrapText="1"/>
    </xf>
    <xf numFmtId="0" fontId="2" fillId="0" borderId="1" xfId="0" applyFont="1" applyBorder="1" applyAlignment="1">
      <alignment horizontal="center"/>
    </xf>
    <xf numFmtId="166" fontId="0" fillId="0" borderId="1" xfId="1" applyNumberFormat="1" applyFont="1" applyBorder="1"/>
    <xf numFmtId="9" fontId="1" fillId="0" borderId="1" xfId="2" applyFont="1" applyBorder="1"/>
    <xf numFmtId="0" fontId="21" fillId="10" borderId="1" xfId="2" applyNumberFormat="1" applyFont="1" applyFill="1" applyBorder="1" applyAlignment="1">
      <alignment horizontal="center" vertical="center" wrapText="1"/>
    </xf>
    <xf numFmtId="0" fontId="22" fillId="10" borderId="1" xfId="2" applyNumberFormat="1" applyFont="1" applyFill="1" applyBorder="1" applyAlignment="1">
      <alignment horizontal="center" vertical="center" wrapText="1"/>
    </xf>
    <xf numFmtId="0" fontId="0" fillId="0" borderId="0" xfId="0" applyAlignment="1">
      <alignment horizontal="center" vertical="center"/>
    </xf>
    <xf numFmtId="9" fontId="0" fillId="8" borderId="1" xfId="2" applyFont="1" applyFill="1" applyBorder="1"/>
    <xf numFmtId="9" fontId="0" fillId="8" borderId="1" xfId="2" applyFont="1" applyFill="1" applyBorder="1" applyAlignment="1">
      <alignment horizontal="right"/>
    </xf>
    <xf numFmtId="3" fontId="23" fillId="0" borderId="1" xfId="0" applyNumberFormat="1" applyFont="1" applyBorder="1" applyAlignment="1">
      <alignment horizontal="right"/>
    </xf>
    <xf numFmtId="165" fontId="23" fillId="0" borderId="1" xfId="4" applyNumberFormat="1" applyFont="1" applyBorder="1" applyAlignment="1">
      <alignment horizontal="right"/>
    </xf>
    <xf numFmtId="0" fontId="0" fillId="8" borderId="1" xfId="2" applyNumberFormat="1" applyFont="1" applyFill="1" applyBorder="1"/>
    <xf numFmtId="165" fontId="0" fillId="0" borderId="0" xfId="0" applyNumberFormat="1" applyAlignment="1">
      <alignment horizontal="right"/>
    </xf>
    <xf numFmtId="43" fontId="0" fillId="8" borderId="1" xfId="4" applyFont="1" applyFill="1" applyBorder="1"/>
    <xf numFmtId="0" fontId="0" fillId="0" borderId="0" xfId="0" applyAlignment="1">
      <alignment horizontal="right"/>
    </xf>
    <xf numFmtId="0" fontId="0" fillId="0" borderId="0" xfId="0" applyAlignment="1">
      <alignment horizontal="right" wrapText="1"/>
    </xf>
    <xf numFmtId="0" fontId="0" fillId="0" borderId="1" xfId="0" applyBorder="1" applyAlignment="1">
      <alignment horizontal="right"/>
    </xf>
    <xf numFmtId="0" fontId="0" fillId="0" borderId="1" xfId="0" applyBorder="1" applyAlignment="1">
      <alignment horizontal="right" vertical="center"/>
    </xf>
    <xf numFmtId="166" fontId="0" fillId="0" borderId="1" xfId="0" applyNumberFormat="1" applyBorder="1"/>
    <xf numFmtId="166" fontId="2" fillId="0" borderId="1" xfId="1" applyNumberFormat="1" applyFont="1" applyBorder="1" applyAlignment="1">
      <alignment horizontal="center" vertical="center" wrapText="1"/>
    </xf>
    <xf numFmtId="166" fontId="0" fillId="0" borderId="0" xfId="1" applyNumberFormat="1" applyFont="1" applyAlignment="1">
      <alignment wrapText="1"/>
    </xf>
    <xf numFmtId="166" fontId="2" fillId="0" borderId="1" xfId="1" applyNumberFormat="1" applyFont="1" applyBorder="1" applyAlignment="1">
      <alignment horizontal="left"/>
    </xf>
    <xf numFmtId="166" fontId="2" fillId="0" borderId="1" xfId="1" applyNumberFormat="1" applyFont="1" applyBorder="1" applyAlignment="1">
      <alignment horizontal="left" vertical="center"/>
    </xf>
    <xf numFmtId="166" fontId="0" fillId="0" borderId="0" xfId="0" applyNumberFormat="1"/>
    <xf numFmtId="0" fontId="0" fillId="0" borderId="0" xfId="0" pivotButton="1" applyAlignment="1">
      <alignment wrapText="1"/>
    </xf>
    <xf numFmtId="166" fontId="0" fillId="0" borderId="0" xfId="0" applyNumberFormat="1" applyAlignment="1">
      <alignment wrapText="1"/>
    </xf>
    <xf numFmtId="0" fontId="0" fillId="0" borderId="0" xfId="0" applyAlignment="1">
      <alignment horizontal="center" vertical="center" wrapText="1"/>
    </xf>
    <xf numFmtId="0" fontId="2" fillId="0" borderId="11" xfId="0" applyFont="1" applyBorder="1" applyAlignment="1">
      <alignment wrapText="1"/>
    </xf>
    <xf numFmtId="166" fontId="0" fillId="0" borderId="0" xfId="0" applyNumberFormat="1" applyAlignment="1">
      <alignment horizontal="right"/>
    </xf>
    <xf numFmtId="166" fontId="2" fillId="0" borderId="1" xfId="1" applyNumberFormat="1" applyFont="1" applyBorder="1" applyAlignment="1">
      <alignment horizontal="right" vertical="center"/>
    </xf>
    <xf numFmtId="166" fontId="0" fillId="0" borderId="1" xfId="0" applyNumberFormat="1" applyBorder="1" applyAlignment="1">
      <alignment horizontal="right"/>
    </xf>
    <xf numFmtId="0" fontId="2" fillId="9" borderId="1" xfId="0" applyFont="1" applyFill="1" applyBorder="1" applyAlignment="1">
      <alignment wrapText="1"/>
    </xf>
    <xf numFmtId="166" fontId="0" fillId="0" borderId="1" xfId="0" applyNumberFormat="1" applyBorder="1" applyAlignment="1">
      <alignment wrapText="1"/>
    </xf>
    <xf numFmtId="9" fontId="0" fillId="0" borderId="0" xfId="0" applyNumberFormat="1" applyAlignment="1">
      <alignment wrapText="1"/>
    </xf>
    <xf numFmtId="0" fontId="2" fillId="0" borderId="1" xfId="0" applyFont="1" applyBorder="1" applyAlignment="1">
      <alignment wrapText="1"/>
    </xf>
    <xf numFmtId="0" fontId="5" fillId="0" borderId="1" xfId="2" applyNumberFormat="1" applyFont="1" applyBorder="1" applyAlignment="1">
      <alignment wrapText="1"/>
    </xf>
    <xf numFmtId="0" fontId="4" fillId="0" borderId="1" xfId="3" applyBorder="1" applyAlignment="1">
      <alignment vertical="center"/>
    </xf>
    <xf numFmtId="0" fontId="24" fillId="0" borderId="1" xfId="0" applyFont="1" applyBorder="1" applyAlignment="1">
      <alignment horizontal="left" vertical="center" wrapText="1"/>
    </xf>
    <xf numFmtId="0" fontId="2" fillId="0" borderId="1" xfId="0" applyFont="1" applyBorder="1" applyAlignment="1">
      <alignment horizontal="left" vertical="center"/>
    </xf>
    <xf numFmtId="165" fontId="5" fillId="0" borderId="1" xfId="4" applyNumberFormat="1" applyFont="1" applyBorder="1" applyAlignment="1">
      <alignment vertical="center"/>
    </xf>
    <xf numFmtId="165" fontId="4" fillId="0" borderId="1" xfId="4" applyNumberFormat="1" applyFont="1" applyBorder="1" applyAlignment="1">
      <alignment vertical="center"/>
    </xf>
    <xf numFmtId="166" fontId="0" fillId="0" borderId="0" xfId="1" applyNumberFormat="1" applyFont="1" applyAlignment="1"/>
    <xf numFmtId="166" fontId="0" fillId="0" borderId="1" xfId="1" applyNumberFormat="1" applyFont="1" applyBorder="1" applyAlignment="1">
      <alignment wrapText="1"/>
    </xf>
    <xf numFmtId="9" fontId="0" fillId="0" borderId="1" xfId="0" applyNumberFormat="1" applyBorder="1" applyAlignment="1">
      <alignment wrapText="1"/>
    </xf>
    <xf numFmtId="0" fontId="0" fillId="0" borderId="1" xfId="0" applyBorder="1" applyAlignment="1">
      <alignment horizontal="right" wrapText="1"/>
    </xf>
    <xf numFmtId="0" fontId="2" fillId="0" borderId="1" xfId="0" applyFont="1" applyBorder="1" applyAlignment="1">
      <alignment vertical="center" wrapText="1"/>
    </xf>
    <xf numFmtId="166" fontId="2" fillId="0" borderId="1" xfId="1" applyNumberFormat="1" applyFont="1" applyBorder="1" applyAlignment="1">
      <alignment wrapText="1"/>
    </xf>
    <xf numFmtId="166" fontId="2" fillId="0" borderId="1" xfId="0" applyNumberFormat="1" applyFont="1" applyBorder="1" applyAlignment="1">
      <alignment horizontal="right"/>
    </xf>
    <xf numFmtId="166" fontId="0" fillId="0" borderId="0" xfId="1" applyNumberFormat="1" applyFont="1" applyBorder="1" applyAlignment="1">
      <alignment wrapText="1"/>
    </xf>
    <xf numFmtId="0" fontId="0" fillId="0" borderId="1" xfId="0" applyBorder="1" applyAlignment="1">
      <alignment horizontal="center" vertical="center" wrapText="1"/>
    </xf>
    <xf numFmtId="166" fontId="0" fillId="0" borderId="1" xfId="0" applyNumberFormat="1" applyBorder="1" applyAlignment="1">
      <alignment horizontal="center" vertical="center" wrapText="1"/>
    </xf>
    <xf numFmtId="164" fontId="0" fillId="0" borderId="0" xfId="0" applyNumberFormat="1" applyAlignment="1">
      <alignment wrapText="1"/>
    </xf>
    <xf numFmtId="9" fontId="0" fillId="0" borderId="0" xfId="2" applyFont="1" applyAlignment="1">
      <alignment horizontal="right"/>
    </xf>
    <xf numFmtId="167" fontId="0" fillId="0" borderId="1" xfId="0" applyNumberFormat="1" applyBorder="1" applyAlignment="1">
      <alignment horizontal="right"/>
    </xf>
    <xf numFmtId="0" fontId="25" fillId="0" borderId="0" xfId="0" applyFont="1" applyAlignment="1">
      <alignment vertical="center"/>
    </xf>
    <xf numFmtId="0" fontId="0" fillId="0" borderId="0" xfId="0" applyAlignment="1">
      <alignment vertical="center" wrapText="1"/>
    </xf>
    <xf numFmtId="0" fontId="26" fillId="0" borderId="16" xfId="0" applyFont="1" applyBorder="1" applyAlignment="1">
      <alignment vertical="center" wrapText="1"/>
    </xf>
    <xf numFmtId="0" fontId="27" fillId="11" borderId="20" xfId="0" applyFont="1" applyFill="1" applyBorder="1" applyAlignment="1">
      <alignment vertical="center" wrapText="1"/>
    </xf>
    <xf numFmtId="0" fontId="15" fillId="0" borderId="21" xfId="0" applyFont="1" applyBorder="1" applyAlignment="1">
      <alignment vertical="center" wrapText="1"/>
    </xf>
    <xf numFmtId="9" fontId="26" fillId="0" borderId="20" xfId="0" applyNumberFormat="1" applyFont="1" applyBorder="1" applyAlignment="1">
      <alignment horizontal="right" vertical="center" wrapText="1"/>
    </xf>
    <xf numFmtId="0" fontId="0" fillId="0" borderId="0" xfId="0" applyAlignment="1">
      <alignment vertical="center"/>
    </xf>
    <xf numFmtId="9" fontId="0" fillId="0" borderId="0" xfId="2" applyFont="1" applyAlignment="1">
      <alignment wrapText="1"/>
    </xf>
    <xf numFmtId="168" fontId="0" fillId="0" borderId="0" xfId="0" applyNumberFormat="1" applyAlignment="1">
      <alignment wrapText="1"/>
    </xf>
    <xf numFmtId="166" fontId="0" fillId="0" borderId="0" xfId="1" applyNumberFormat="1" applyFont="1"/>
    <xf numFmtId="166" fontId="2" fillId="0" borderId="0" xfId="0" applyNumberFormat="1" applyFont="1"/>
    <xf numFmtId="0" fontId="2" fillId="0" borderId="0" xfId="0" applyFont="1" applyAlignment="1">
      <alignment wrapText="1"/>
    </xf>
    <xf numFmtId="166" fontId="0" fillId="0" borderId="0" xfId="1" applyNumberFormat="1" applyFont="1" applyAlignment="1">
      <alignment vertical="top" wrapText="1"/>
    </xf>
    <xf numFmtId="9" fontId="0" fillId="0" borderId="0" xfId="2" applyFont="1"/>
    <xf numFmtId="165" fontId="4" fillId="0" borderId="1" xfId="3" applyNumberFormat="1" applyBorder="1"/>
    <xf numFmtId="0" fontId="2" fillId="9" borderId="22" xfId="0" applyFont="1" applyFill="1" applyBorder="1" applyAlignment="1">
      <alignment wrapText="1"/>
    </xf>
    <xf numFmtId="0" fontId="2" fillId="9" borderId="12" xfId="0" applyFont="1" applyFill="1" applyBorder="1" applyAlignment="1">
      <alignment wrapText="1"/>
    </xf>
    <xf numFmtId="0" fontId="0" fillId="0" borderId="3" xfId="0" applyBorder="1" applyAlignment="1">
      <alignment wrapText="1"/>
    </xf>
    <xf numFmtId="0" fontId="0" fillId="0" borderId="24" xfId="0" applyBorder="1" applyAlignment="1">
      <alignment wrapText="1"/>
    </xf>
    <xf numFmtId="0" fontId="0" fillId="0" borderId="8" xfId="0" applyBorder="1" applyAlignment="1">
      <alignment wrapText="1"/>
    </xf>
    <xf numFmtId="168" fontId="0" fillId="0" borderId="0" xfId="2" applyNumberFormat="1" applyFont="1"/>
    <xf numFmtId="9" fontId="2" fillId="0" borderId="0" xfId="2" applyFont="1"/>
    <xf numFmtId="169" fontId="0" fillId="0" borderId="0" xfId="2" applyNumberFormat="1" applyFont="1"/>
    <xf numFmtId="168" fontId="0" fillId="8" borderId="1" xfId="2" applyNumberFormat="1" applyFont="1" applyFill="1" applyBorder="1"/>
    <xf numFmtId="170" fontId="0" fillId="8" borderId="1" xfId="2" applyNumberFormat="1" applyFont="1" applyFill="1" applyBorder="1"/>
    <xf numFmtId="0" fontId="6" fillId="0" borderId="0" xfId="0" applyFont="1"/>
    <xf numFmtId="0" fontId="29" fillId="0" borderId="0" xfId="0" applyFont="1" applyAlignment="1">
      <alignment wrapText="1"/>
    </xf>
    <xf numFmtId="9" fontId="6" fillId="0" borderId="0" xfId="2" applyFont="1"/>
    <xf numFmtId="166" fontId="6" fillId="0" borderId="0" xfId="1" applyNumberFormat="1" applyFont="1"/>
    <xf numFmtId="9" fontId="6" fillId="0" borderId="0" xfId="2" applyFont="1" applyAlignment="1">
      <alignment wrapText="1"/>
    </xf>
    <xf numFmtId="9" fontId="29" fillId="0" borderId="0" xfId="2" applyFont="1"/>
    <xf numFmtId="166" fontId="29" fillId="0" borderId="0" xfId="0" applyNumberFormat="1" applyFont="1"/>
    <xf numFmtId="0" fontId="29" fillId="0" borderId="0" xfId="0" applyFont="1"/>
    <xf numFmtId="166" fontId="6" fillId="0" borderId="0" xfId="1" applyNumberFormat="1" applyFont="1" applyAlignment="1">
      <alignment wrapText="1"/>
    </xf>
    <xf numFmtId="166" fontId="29" fillId="0" borderId="0" xfId="1" applyNumberFormat="1" applyFont="1"/>
    <xf numFmtId="0" fontId="6" fillId="0" borderId="1" xfId="0" applyFont="1" applyBorder="1" applyAlignment="1">
      <alignment horizontal="left" vertical="center" wrapText="1"/>
    </xf>
    <xf numFmtId="168" fontId="0" fillId="0" borderId="0" xfId="2" applyNumberFormat="1" applyFont="1" applyAlignment="1">
      <alignment horizontal="right"/>
    </xf>
    <xf numFmtId="167" fontId="2" fillId="0" borderId="1" xfId="0" applyNumberFormat="1" applyFont="1" applyBorder="1" applyAlignment="1">
      <alignment horizontal="right"/>
    </xf>
    <xf numFmtId="1" fontId="26" fillId="0" borderId="20" xfId="2" applyNumberFormat="1" applyFont="1" applyBorder="1" applyAlignment="1">
      <alignment horizontal="right" vertical="center" wrapText="1"/>
    </xf>
    <xf numFmtId="0" fontId="2" fillId="2" borderId="1" xfId="0" applyFont="1" applyFill="1" applyBorder="1"/>
    <xf numFmtId="0" fontId="2" fillId="12" borderId="1" xfId="0" applyFont="1" applyFill="1" applyBorder="1"/>
    <xf numFmtId="166" fontId="0" fillId="12" borderId="1" xfId="1" applyNumberFormat="1" applyFont="1" applyFill="1" applyBorder="1"/>
    <xf numFmtId="0" fontId="2" fillId="13" borderId="1" xfId="0" applyFont="1" applyFill="1" applyBorder="1"/>
    <xf numFmtId="9" fontId="1" fillId="13" borderId="1" xfId="2" applyFont="1" applyFill="1" applyBorder="1"/>
    <xf numFmtId="0" fontId="2" fillId="14" borderId="1" xfId="0" applyFont="1" applyFill="1" applyBorder="1"/>
    <xf numFmtId="9" fontId="1" fillId="14" borderId="1" xfId="2" applyFont="1" applyFill="1" applyBorder="1"/>
    <xf numFmtId="0" fontId="2" fillId="15" borderId="1" xfId="0" applyFont="1" applyFill="1" applyBorder="1"/>
    <xf numFmtId="166" fontId="0" fillId="15" borderId="1" xfId="0" applyNumberFormat="1" applyFill="1" applyBorder="1"/>
    <xf numFmtId="0" fontId="2" fillId="16" borderId="1" xfId="0" applyFont="1" applyFill="1" applyBorder="1"/>
    <xf numFmtId="166" fontId="0" fillId="16" borderId="1" xfId="0" applyNumberFormat="1" applyFill="1" applyBorder="1"/>
    <xf numFmtId="166" fontId="0" fillId="2" borderId="1" xfId="0" applyNumberFormat="1" applyFill="1" applyBorder="1"/>
    <xf numFmtId="1" fontId="0" fillId="0" borderId="0" xfId="2" applyNumberFormat="1" applyFont="1" applyAlignment="1">
      <alignment wrapText="1"/>
    </xf>
    <xf numFmtId="41" fontId="26" fillId="0" borderId="20" xfId="12" applyFont="1" applyBorder="1" applyAlignment="1">
      <alignment horizontal="right" vertical="center" wrapText="1"/>
    </xf>
    <xf numFmtId="168" fontId="2" fillId="0" borderId="0" xfId="2" applyNumberFormat="1" applyFont="1"/>
    <xf numFmtId="0" fontId="6" fillId="0" borderId="0" xfId="0" applyFont="1" applyAlignment="1">
      <alignment horizontal="right"/>
    </xf>
    <xf numFmtId="165" fontId="4" fillId="0" borderId="0" xfId="3" applyNumberFormat="1"/>
    <xf numFmtId="0" fontId="2" fillId="0" borderId="2" xfId="0" applyFont="1" applyBorder="1" applyAlignment="1">
      <alignment horizontal="center"/>
    </xf>
    <xf numFmtId="9" fontId="0" fillId="8" borderId="2" xfId="2" applyFont="1" applyFill="1" applyBorder="1" applyAlignment="1">
      <alignment horizontal="right"/>
    </xf>
    <xf numFmtId="0" fontId="2" fillId="0" borderId="3" xfId="0" applyFont="1" applyBorder="1" applyAlignment="1">
      <alignment horizontal="center"/>
    </xf>
    <xf numFmtId="9" fontId="0" fillId="0" borderId="3" xfId="2" applyFont="1" applyFill="1" applyBorder="1" applyAlignment="1">
      <alignment horizontal="right"/>
    </xf>
    <xf numFmtId="164" fontId="0" fillId="0" borderId="0" xfId="0" applyNumberFormat="1" applyAlignment="1">
      <alignment horizontal="right"/>
    </xf>
    <xf numFmtId="43" fontId="0" fillId="0" borderId="0" xfId="0" applyNumberFormat="1" applyAlignment="1">
      <alignment horizontal="right"/>
    </xf>
    <xf numFmtId="0" fontId="2" fillId="0" borderId="0" xfId="0" applyFont="1" applyAlignment="1">
      <alignment horizontal="center"/>
    </xf>
    <xf numFmtId="9" fontId="0" fillId="0" borderId="0" xfId="2" applyFont="1" applyFill="1" applyBorder="1" applyAlignment="1">
      <alignment horizontal="right"/>
    </xf>
    <xf numFmtId="3" fontId="0" fillId="0" borderId="1" xfId="0" applyNumberFormat="1" applyBorder="1" applyAlignment="1">
      <alignment horizontal="right"/>
    </xf>
    <xf numFmtId="165" fontId="0" fillId="0" borderId="4" xfId="4" applyNumberFormat="1" applyFont="1" applyFill="1" applyBorder="1" applyAlignment="1">
      <alignment horizontal="right"/>
    </xf>
    <xf numFmtId="164" fontId="0" fillId="0" borderId="7" xfId="0" applyNumberFormat="1" applyBorder="1" applyAlignment="1">
      <alignment horizontal="right"/>
    </xf>
    <xf numFmtId="0" fontId="0" fillId="0" borderId="7" xfId="0" applyBorder="1" applyAlignment="1">
      <alignment horizontal="center" vertical="center"/>
    </xf>
    <xf numFmtId="0" fontId="0" fillId="0" borderId="7" xfId="0" applyBorder="1"/>
    <xf numFmtId="3" fontId="23" fillId="0" borderId="1" xfId="0" applyNumberFormat="1" applyFont="1" applyBorder="1" applyAlignment="1">
      <alignment horizontal="center"/>
    </xf>
    <xf numFmtId="165" fontId="23" fillId="0" borderId="4" xfId="4" applyNumberFormat="1" applyFont="1" applyFill="1" applyBorder="1" applyAlignment="1">
      <alignment horizontal="center"/>
    </xf>
    <xf numFmtId="166" fontId="0" fillId="0" borderId="1" xfId="0" applyNumberFormat="1" applyBorder="1" applyAlignment="1">
      <alignment horizontal="center" vertical="center"/>
    </xf>
    <xf numFmtId="166" fontId="0" fillId="0" borderId="4" xfId="0" applyNumberFormat="1" applyBorder="1" applyAlignment="1">
      <alignment horizontal="center" vertical="center"/>
    </xf>
    <xf numFmtId="3" fontId="23" fillId="3" borderId="3" xfId="0" applyNumberFormat="1" applyFont="1" applyFill="1" applyBorder="1" applyAlignment="1">
      <alignment horizontal="right"/>
    </xf>
    <xf numFmtId="165" fontId="23" fillId="3" borderId="3" xfId="4" applyNumberFormat="1" applyFont="1" applyFill="1" applyBorder="1" applyAlignment="1">
      <alignment horizontal="right"/>
    </xf>
    <xf numFmtId="168" fontId="23" fillId="3" borderId="0" xfId="2" applyNumberFormat="1" applyFont="1" applyFill="1" applyBorder="1" applyAlignment="1">
      <alignment horizontal="left"/>
    </xf>
    <xf numFmtId="168" fontId="4" fillId="0" borderId="1" xfId="2" applyNumberFormat="1" applyFont="1" applyBorder="1"/>
    <xf numFmtId="164" fontId="0" fillId="0" borderId="1" xfId="0" applyNumberFormat="1" applyBorder="1"/>
    <xf numFmtId="0" fontId="5" fillId="17" borderId="1" xfId="0" applyFont="1" applyFill="1" applyBorder="1" applyAlignment="1">
      <alignment horizontal="left" vertical="center" wrapText="1"/>
    </xf>
    <xf numFmtId="0" fontId="7" fillId="18" borderId="1" xfId="0" applyFont="1" applyFill="1" applyBorder="1" applyAlignment="1">
      <alignment horizontal="left" vertical="center" wrapText="1"/>
    </xf>
    <xf numFmtId="0" fontId="7" fillId="6" borderId="1" xfId="0" applyFont="1" applyFill="1" applyBorder="1" applyAlignment="1">
      <alignment horizontal="left" vertical="center" wrapText="1"/>
    </xf>
    <xf numFmtId="0" fontId="8" fillId="6" borderId="1" xfId="0" applyFont="1" applyFill="1" applyBorder="1" applyAlignment="1">
      <alignment horizontal="left" vertical="center" wrapText="1"/>
    </xf>
    <xf numFmtId="0" fontId="11" fillId="0" borderId="1" xfId="0" applyFont="1" applyBorder="1" applyAlignment="1">
      <alignment horizontal="left" vertical="center" wrapText="1"/>
    </xf>
    <xf numFmtId="0" fontId="8" fillId="17" borderId="1" xfId="0" applyFont="1" applyFill="1" applyBorder="1" applyAlignment="1">
      <alignment horizontal="left" vertical="center" wrapText="1"/>
    </xf>
    <xf numFmtId="0" fontId="7" fillId="17" borderId="1" xfId="0" applyFont="1" applyFill="1" applyBorder="1" applyAlignment="1">
      <alignment horizontal="left" vertical="center" wrapText="1"/>
    </xf>
    <xf numFmtId="0" fontId="8" fillId="18" borderId="1" xfId="0" applyFont="1" applyFill="1" applyBorder="1" applyAlignment="1">
      <alignment horizontal="left" vertical="center" wrapText="1"/>
    </xf>
    <xf numFmtId="166" fontId="0" fillId="0" borderId="0" xfId="1" applyNumberFormat="1" applyFont="1" applyBorder="1"/>
    <xf numFmtId="0" fontId="29" fillId="6" borderId="1" xfId="0" applyFont="1" applyFill="1" applyBorder="1" applyAlignment="1">
      <alignment horizontal="left" vertical="center" wrapText="1"/>
    </xf>
    <xf numFmtId="0" fontId="6" fillId="6" borderId="1" xfId="0" applyFont="1" applyFill="1" applyBorder="1" applyAlignment="1">
      <alignment horizontal="left" vertical="center" wrapText="1"/>
    </xf>
    <xf numFmtId="0" fontId="6" fillId="0" borderId="0" xfId="0" applyFont="1" applyAlignment="1">
      <alignment horizontal="left" vertical="center" wrapText="1"/>
    </xf>
    <xf numFmtId="166" fontId="6" fillId="2" borderId="1" xfId="0" applyNumberFormat="1" applyFont="1" applyFill="1" applyBorder="1"/>
    <xf numFmtId="9" fontId="6" fillId="0" borderId="0" xfId="2" applyFont="1" applyBorder="1"/>
    <xf numFmtId="166" fontId="6" fillId="0" borderId="0" xfId="0" applyNumberFormat="1" applyFont="1"/>
    <xf numFmtId="166" fontId="6" fillId="2" borderId="5" xfId="0" applyNumberFormat="1" applyFont="1" applyFill="1" applyBorder="1"/>
    <xf numFmtId="9" fontId="6" fillId="13" borderId="1" xfId="2" applyFont="1" applyFill="1" applyBorder="1"/>
    <xf numFmtId="9" fontId="6" fillId="14" borderId="1" xfId="2" applyFont="1" applyFill="1" applyBorder="1"/>
    <xf numFmtId="166" fontId="6" fillId="15" borderId="1" xfId="0" applyNumberFormat="1" applyFont="1" applyFill="1" applyBorder="1"/>
    <xf numFmtId="166" fontId="6" fillId="16" borderId="1" xfId="0" applyNumberFormat="1" applyFont="1" applyFill="1" applyBorder="1"/>
    <xf numFmtId="0" fontId="7" fillId="0" borderId="1" xfId="0" applyFont="1" applyBorder="1"/>
    <xf numFmtId="0" fontId="4" fillId="0" borderId="0" xfId="0" applyFont="1" applyAlignment="1">
      <alignment horizontal="left" vertical="center" wrapText="1"/>
    </xf>
    <xf numFmtId="0" fontId="29" fillId="18" borderId="1" xfId="0" applyFont="1" applyFill="1" applyBorder="1" applyAlignment="1">
      <alignment horizontal="left" vertical="center" wrapText="1"/>
    </xf>
    <xf numFmtId="0" fontId="31" fillId="6" borderId="0" xfId="0" applyFont="1" applyFill="1"/>
    <xf numFmtId="0" fontId="6" fillId="18" borderId="1" xfId="0" applyFont="1" applyFill="1" applyBorder="1" applyAlignment="1">
      <alignment horizontal="left" vertical="center" wrapText="1"/>
    </xf>
    <xf numFmtId="0" fontId="7" fillId="6" borderId="6" xfId="0" applyFont="1" applyFill="1" applyBorder="1" applyAlignment="1">
      <alignment horizontal="left" vertical="center" wrapText="1"/>
    </xf>
    <xf numFmtId="0" fontId="2" fillId="0" borderId="26" xfId="0" applyFont="1" applyBorder="1" applyAlignment="1">
      <alignment wrapText="1"/>
    </xf>
    <xf numFmtId="0" fontId="2" fillId="0" borderId="24" xfId="0" applyFont="1" applyBorder="1" applyAlignment="1">
      <alignment wrapText="1"/>
    </xf>
    <xf numFmtId="0" fontId="2" fillId="0" borderId="8" xfId="0" applyFont="1" applyBorder="1" applyAlignment="1">
      <alignment wrapText="1"/>
    </xf>
    <xf numFmtId="0" fontId="0" fillId="0" borderId="0" xfId="0" applyAlignment="1">
      <alignment horizontal="left"/>
    </xf>
    <xf numFmtId="0" fontId="2" fillId="9" borderId="0" xfId="0" applyFont="1" applyFill="1" applyAlignment="1">
      <alignment horizontal="center" vertical="center"/>
    </xf>
    <xf numFmtId="0" fontId="2" fillId="9" borderId="7" xfId="0" applyFont="1" applyFill="1" applyBorder="1" applyAlignment="1">
      <alignment horizontal="center" vertical="center"/>
    </xf>
    <xf numFmtId="0" fontId="2" fillId="9" borderId="7" xfId="0" applyFont="1" applyFill="1" applyBorder="1" applyAlignment="1">
      <alignment horizontal="center" vertical="center" wrapText="1"/>
    </xf>
    <xf numFmtId="0" fontId="2" fillId="0" borderId="28" xfId="0" applyFont="1" applyBorder="1" applyAlignment="1">
      <alignment wrapText="1"/>
    </xf>
    <xf numFmtId="0" fontId="0" fillId="0" borderId="7" xfId="0" applyBorder="1" applyAlignment="1">
      <alignment wrapText="1"/>
    </xf>
    <xf numFmtId="166" fontId="0" fillId="0" borderId="29" xfId="1" applyNumberFormat="1" applyFont="1" applyBorder="1" applyAlignment="1">
      <alignment horizontal="right"/>
    </xf>
    <xf numFmtId="0" fontId="2" fillId="0" borderId="3" xfId="0" applyFont="1" applyBorder="1" applyAlignment="1">
      <alignment wrapText="1"/>
    </xf>
    <xf numFmtId="166" fontId="0" fillId="0" borderId="30" xfId="1" applyNumberFormat="1" applyFont="1" applyBorder="1" applyAlignment="1">
      <alignment horizontal="right"/>
    </xf>
    <xf numFmtId="166" fontId="0" fillId="0" borderId="27" xfId="1" applyNumberFormat="1" applyFont="1" applyBorder="1" applyAlignment="1">
      <alignment horizontal="right"/>
    </xf>
    <xf numFmtId="0" fontId="2" fillId="9" borderId="2" xfId="0" applyFont="1" applyFill="1" applyBorder="1" applyAlignment="1">
      <alignment wrapText="1"/>
    </xf>
    <xf numFmtId="166" fontId="2" fillId="0" borderId="1" xfId="0" applyNumberFormat="1" applyFont="1" applyBorder="1"/>
    <xf numFmtId="166" fontId="2" fillId="9" borderId="12" xfId="0" applyNumberFormat="1" applyFont="1" applyFill="1" applyBorder="1" applyAlignment="1">
      <alignment wrapText="1"/>
    </xf>
    <xf numFmtId="166" fontId="2" fillId="0" borderId="26" xfId="0" applyNumberFormat="1" applyFont="1" applyBorder="1" applyAlignment="1">
      <alignment wrapText="1"/>
    </xf>
    <xf numFmtId="166" fontId="2" fillId="0" borderId="8" xfId="0" applyNumberFormat="1" applyFont="1" applyBorder="1" applyAlignment="1">
      <alignment wrapText="1"/>
    </xf>
    <xf numFmtId="166" fontId="2" fillId="0" borderId="11" xfId="0" applyNumberFormat="1" applyFont="1" applyBorder="1" applyAlignment="1">
      <alignment wrapText="1"/>
    </xf>
    <xf numFmtId="166" fontId="0" fillId="0" borderId="8" xfId="0" applyNumberFormat="1" applyBorder="1" applyAlignment="1">
      <alignment wrapText="1"/>
    </xf>
    <xf numFmtId="166" fontId="2" fillId="0" borderId="3" xfId="0" applyNumberFormat="1" applyFont="1" applyBorder="1" applyAlignment="1">
      <alignment wrapText="1"/>
    </xf>
    <xf numFmtId="166" fontId="0" fillId="0" borderId="3" xfId="0" applyNumberFormat="1" applyBorder="1" applyAlignment="1">
      <alignment wrapText="1"/>
    </xf>
    <xf numFmtId="0" fontId="0" fillId="0" borderId="3" xfId="0" applyBorder="1"/>
    <xf numFmtId="166" fontId="2" fillId="0" borderId="3" xfId="0" applyNumberFormat="1" applyFont="1" applyBorder="1"/>
    <xf numFmtId="0" fontId="2" fillId="0" borderId="25" xfId="0" applyFont="1" applyBorder="1" applyAlignment="1">
      <alignment horizontal="left" vertical="top"/>
    </xf>
    <xf numFmtId="0" fontId="2" fillId="0" borderId="23" xfId="0" applyFont="1" applyBorder="1" applyAlignment="1">
      <alignment horizontal="left"/>
    </xf>
    <xf numFmtId="0" fontId="2" fillId="0" borderId="24" xfId="0" applyFont="1" applyBorder="1" applyAlignment="1">
      <alignment horizontal="left" vertical="center"/>
    </xf>
    <xf numFmtId="166" fontId="4" fillId="0" borderId="0" xfId="5" applyNumberFormat="1"/>
    <xf numFmtId="0" fontId="5" fillId="7" borderId="10" xfId="0" applyFont="1" applyFill="1" applyBorder="1" applyAlignment="1">
      <alignment horizontal="center" vertical="center" wrapText="1"/>
    </xf>
    <xf numFmtId="166" fontId="5" fillId="8" borderId="9" xfId="5" applyNumberFormat="1" applyFont="1" applyFill="1" applyBorder="1"/>
    <xf numFmtId="166" fontId="4" fillId="0" borderId="0" xfId="1" applyNumberFormat="1" applyFont="1"/>
    <xf numFmtId="166" fontId="5" fillId="8" borderId="9" xfId="1" applyNumberFormat="1" applyFont="1" applyFill="1" applyBorder="1"/>
    <xf numFmtId="166" fontId="2" fillId="0" borderId="1" xfId="1" applyNumberFormat="1" applyFont="1" applyBorder="1"/>
    <xf numFmtId="166" fontId="2" fillId="0" borderId="0" xfId="1" applyNumberFormat="1" applyFont="1" applyAlignment="1">
      <alignment horizontal="left" vertical="center" wrapText="1"/>
    </xf>
    <xf numFmtId="0" fontId="0" fillId="0" borderId="1" xfId="0" applyBorder="1" applyAlignment="1">
      <alignment horizontal="center"/>
    </xf>
    <xf numFmtId="0" fontId="0" fillId="0" borderId="2" xfId="0" applyBorder="1" applyAlignment="1">
      <alignment horizontal="center"/>
    </xf>
    <xf numFmtId="0" fontId="0" fillId="0" borderId="9" xfId="0" applyBorder="1" applyAlignment="1">
      <alignment horizontal="center"/>
    </xf>
    <xf numFmtId="0" fontId="0" fillId="0" borderId="6" xfId="0" applyBorder="1" applyAlignment="1">
      <alignment horizontal="center"/>
    </xf>
    <xf numFmtId="0" fontId="2" fillId="0" borderId="4" xfId="0" applyFont="1" applyBorder="1" applyAlignment="1">
      <alignment horizontal="center" vertical="center" wrapText="1"/>
    </xf>
    <xf numFmtId="0" fontId="2" fillId="0" borderId="13" xfId="0" applyFont="1" applyBorder="1" applyAlignment="1">
      <alignment horizontal="center" vertical="center" wrapText="1"/>
    </xf>
    <xf numFmtId="0" fontId="5" fillId="0" borderId="2" xfId="3" applyFont="1" applyBorder="1" applyAlignment="1">
      <alignment horizontal="center"/>
    </xf>
    <xf numFmtId="0" fontId="5" fillId="0" borderId="9" xfId="3" applyFont="1" applyBorder="1" applyAlignment="1">
      <alignment horizontal="center"/>
    </xf>
    <xf numFmtId="0" fontId="5" fillId="0" borderId="6" xfId="3" applyFont="1" applyBorder="1" applyAlignment="1">
      <alignment horizontal="center"/>
    </xf>
    <xf numFmtId="0" fontId="2" fillId="0" borderId="1" xfId="0" applyFont="1" applyBorder="1" applyAlignment="1">
      <alignment horizontal="center" vertical="center" wrapText="1"/>
    </xf>
    <xf numFmtId="0" fontId="2" fillId="0" borderId="4" xfId="0" applyFont="1" applyBorder="1" applyAlignment="1">
      <alignment horizontal="center" vertical="center"/>
    </xf>
    <xf numFmtId="0" fontId="2" fillId="0" borderId="13" xfId="0" applyFont="1" applyBorder="1" applyAlignment="1">
      <alignment horizontal="center" vertical="center"/>
    </xf>
    <xf numFmtId="166" fontId="0" fillId="0" borderId="14" xfId="1" applyNumberFormat="1" applyFont="1" applyBorder="1" applyAlignment="1">
      <alignment horizontal="center" wrapText="1"/>
    </xf>
    <xf numFmtId="166" fontId="0" fillId="0" borderId="15" xfId="1" applyNumberFormat="1" applyFont="1" applyBorder="1" applyAlignment="1">
      <alignment horizontal="center" wrapText="1"/>
    </xf>
    <xf numFmtId="0" fontId="26" fillId="0" borderId="17" xfId="0" applyFont="1" applyBorder="1" applyAlignment="1">
      <alignment horizontal="center" vertical="center"/>
    </xf>
    <xf numFmtId="0" fontId="26" fillId="0" borderId="18" xfId="0" applyFont="1" applyBorder="1" applyAlignment="1">
      <alignment horizontal="center" vertical="center"/>
    </xf>
    <xf numFmtId="0" fontId="26" fillId="0" borderId="19" xfId="0" applyFont="1" applyBorder="1" applyAlignment="1">
      <alignment horizontal="center" vertical="center"/>
    </xf>
    <xf numFmtId="0" fontId="27" fillId="0" borderId="17" xfId="0" applyFont="1" applyBorder="1" applyAlignment="1">
      <alignment vertical="center" wrapText="1"/>
    </xf>
    <xf numFmtId="0" fontId="27" fillId="0" borderId="18" xfId="0" applyFont="1" applyBorder="1" applyAlignment="1">
      <alignment vertical="center" wrapText="1"/>
    </xf>
    <xf numFmtId="0" fontId="27" fillId="0" borderId="19" xfId="0" applyFont="1" applyBorder="1" applyAlignment="1">
      <alignment vertical="center" wrapText="1"/>
    </xf>
    <xf numFmtId="0" fontId="16" fillId="0" borderId="17" xfId="0" applyFont="1" applyBorder="1" applyAlignment="1">
      <alignment vertical="center" wrapText="1"/>
    </xf>
    <xf numFmtId="0" fontId="16" fillId="0" borderId="18" xfId="0" applyFont="1" applyBorder="1" applyAlignment="1">
      <alignment vertical="center" wrapText="1"/>
    </xf>
    <xf numFmtId="0" fontId="16" fillId="0" borderId="19" xfId="0" applyFont="1" applyBorder="1" applyAlignment="1">
      <alignment vertical="center" wrapText="1"/>
    </xf>
    <xf numFmtId="0" fontId="21" fillId="2" borderId="1" xfId="0" applyFont="1" applyFill="1" applyBorder="1" applyAlignment="1">
      <alignment horizontal="center" vertical="center" wrapText="1"/>
    </xf>
    <xf numFmtId="0" fontId="21" fillId="3" borderId="1" xfId="0" applyFont="1" applyFill="1" applyBorder="1" applyAlignment="1">
      <alignment horizontal="center" vertical="center" wrapText="1"/>
    </xf>
    <xf numFmtId="0" fontId="21" fillId="4" borderId="1" xfId="0" applyFont="1" applyFill="1" applyBorder="1" applyAlignment="1">
      <alignment horizontal="center" vertical="center" wrapText="1"/>
    </xf>
    <xf numFmtId="0" fontId="21" fillId="5" borderId="1" xfId="0" applyFont="1" applyFill="1" applyBorder="1" applyAlignment="1">
      <alignment horizontal="center" vertical="center" wrapText="1"/>
    </xf>
    <xf numFmtId="0" fontId="21" fillId="5" borderId="2" xfId="0" applyFont="1" applyFill="1" applyBorder="1" applyAlignment="1">
      <alignment horizontal="center" vertical="center" wrapText="1"/>
    </xf>
    <xf numFmtId="0" fontId="16" fillId="6" borderId="1" xfId="0" applyFont="1" applyFill="1" applyBorder="1" applyAlignment="1">
      <alignment horizontal="center" vertical="center" wrapText="1"/>
    </xf>
    <xf numFmtId="0" fontId="21" fillId="10" borderId="2" xfId="0" applyFont="1" applyFill="1" applyBorder="1" applyAlignment="1">
      <alignment horizontal="center" vertical="center" wrapText="1"/>
    </xf>
    <xf numFmtId="0" fontId="21" fillId="10" borderId="9" xfId="0" applyFont="1" applyFill="1" applyBorder="1" applyAlignment="1">
      <alignment horizontal="center" vertical="center" wrapText="1"/>
    </xf>
    <xf numFmtId="0" fontId="21" fillId="10" borderId="6" xfId="0" applyFont="1" applyFill="1" applyBorder="1" applyAlignment="1">
      <alignment horizontal="center" vertical="center" wrapText="1"/>
    </xf>
    <xf numFmtId="0" fontId="0" fillId="0" borderId="0" xfId="0" applyAlignment="1">
      <alignment horizontal="center" wrapText="1"/>
    </xf>
    <xf numFmtId="0" fontId="16" fillId="0" borderId="1" xfId="10" applyFont="1" applyBorder="1" applyAlignment="1">
      <alignment horizontal="center" vertical="center" wrapText="1"/>
    </xf>
    <xf numFmtId="0" fontId="16" fillId="0" borderId="2" xfId="10" applyFont="1" applyBorder="1" applyAlignment="1">
      <alignment horizontal="center" vertical="center" wrapText="1"/>
    </xf>
    <xf numFmtId="0" fontId="16" fillId="0" borderId="9" xfId="10" applyFont="1" applyBorder="1" applyAlignment="1">
      <alignment horizontal="center" vertical="center" wrapText="1"/>
    </xf>
    <xf numFmtId="0" fontId="16" fillId="0" borderId="6" xfId="10" applyFont="1" applyBorder="1" applyAlignment="1">
      <alignment horizontal="center" vertical="center" wrapText="1"/>
    </xf>
    <xf numFmtId="0" fontId="16" fillId="0" borderId="1" xfId="10" applyFont="1" applyBorder="1" applyAlignment="1">
      <alignment horizontal="center" vertical="center"/>
    </xf>
    <xf numFmtId="164" fontId="16" fillId="0" borderId="2" xfId="11" applyFont="1" applyFill="1" applyBorder="1" applyAlignment="1">
      <alignment horizontal="center" vertical="center" wrapText="1"/>
    </xf>
    <xf numFmtId="164" fontId="16" fillId="0" borderId="9" xfId="11" applyFont="1" applyFill="1" applyBorder="1" applyAlignment="1">
      <alignment horizontal="center" vertical="center" wrapText="1"/>
    </xf>
    <xf numFmtId="164" fontId="16" fillId="0" borderId="6" xfId="11" applyFont="1" applyFill="1" applyBorder="1" applyAlignment="1">
      <alignment horizontal="center" vertical="center" wrapText="1"/>
    </xf>
  </cellXfs>
  <cellStyles count="13">
    <cellStyle name="Comma 2" xfId="4" xr:uid="{9205B648-65C3-406F-90D3-B6FCDE89E62D}"/>
    <cellStyle name="Comma 2 2" xfId="9" xr:uid="{603288FA-450A-4C08-B591-5D8EF124338E}"/>
    <cellStyle name="Comma 3" xfId="6" xr:uid="{30A2241E-9D0A-4EF7-B304-7530EE631AD8}"/>
    <cellStyle name="Comma 4 2" xfId="11" xr:uid="{34D12DEE-EBD4-4390-9983-613BD7D2621D}"/>
    <cellStyle name="Comma 9" xfId="8" xr:uid="{4EE1DD4E-4AAE-4AE0-8FC3-1C333A8C6EF6}"/>
    <cellStyle name="Dezimal [0]" xfId="12" builtinId="6"/>
    <cellStyle name="Komma" xfId="1" builtinId="3"/>
    <cellStyle name="Normal 13" xfId="10" xr:uid="{984E8E26-1095-4AC1-9A38-AC052852E431}"/>
    <cellStyle name="Normal 2" xfId="3" xr:uid="{31D21103-60EF-442D-B6CD-FF63061BE542}"/>
    <cellStyle name="Normal 3" xfId="5" xr:uid="{9EDF0AB4-AB0E-48A1-961D-CA4FF737BFC9}"/>
    <cellStyle name="Percent 3" xfId="7" xr:uid="{BDB8FE36-6DBC-4406-AC80-72D55FDAF6FD}"/>
    <cellStyle name="Prozent" xfId="2" builtinId="5"/>
    <cellStyle name="Standard" xfId="0" builtinId="0"/>
  </cellStyles>
  <dxfs count="63">
    <dxf>
      <numFmt numFmtId="168" formatCode="0.0%"/>
    </dxf>
    <dxf>
      <numFmt numFmtId="13" formatCode="0%"/>
    </dxf>
    <dxf>
      <alignment wrapText="1"/>
    </dxf>
    <dxf>
      <alignment wrapText="1"/>
    </dxf>
    <dxf>
      <alignment wrapText="1"/>
    </dxf>
    <dxf>
      <alignment wrapText="1"/>
    </dxf>
    <dxf>
      <alignment wrapText="1"/>
    </dxf>
    <dxf>
      <alignment wrapText="1"/>
    </dxf>
    <dxf>
      <alignment wrapText="1"/>
    </dxf>
    <dxf>
      <numFmt numFmtId="166" formatCode="_(* #,##0_);_(* \(#,##0\);_(* &quot;-&quot;??_);_(@_)"/>
    </dxf>
    <dxf>
      <numFmt numFmtId="166" formatCode="_(* #,##0_);_(* \(#,##0\);_(* &quot;-&quot;??_);_(@_)"/>
    </dxf>
    <dxf>
      <alignment wrapText="1"/>
    </dxf>
    <dxf>
      <alignment wrapText="1"/>
    </dxf>
    <dxf>
      <alignment wrapText="1"/>
    </dxf>
    <dxf>
      <alignment wrapText="1"/>
    </dxf>
    <dxf>
      <alignment wrapText="1"/>
    </dxf>
    <dxf>
      <alignment wrapText="1"/>
    </dxf>
    <dxf>
      <alignment wrapText="1"/>
    </dxf>
    <dxf>
      <numFmt numFmtId="166" formatCode="_(* #,##0_);_(* \(#,##0\);_(* &quot;-&quot;??_);_(@_)"/>
    </dxf>
    <dxf>
      <numFmt numFmtId="166" formatCode="_(* #,##0_);_(* \(#,##0\);_(* &quot;-&quot;??_);_(@_)"/>
    </dxf>
    <dxf>
      <alignment wrapText="1"/>
    </dxf>
    <dxf>
      <alignment wrapText="1"/>
    </dxf>
    <dxf>
      <alignment wrapText="1"/>
    </dxf>
    <dxf>
      <alignment wrapText="1"/>
    </dxf>
    <dxf>
      <alignment wrapText="1"/>
    </dxf>
    <dxf>
      <alignment wrapText="1"/>
    </dxf>
    <dxf>
      <alignment wrapText="1"/>
    </dxf>
    <dxf>
      <numFmt numFmtId="166" formatCode="_(* #,##0_);_(* \(#,##0\);_(* &quot;-&quot;??_);_(@_)"/>
    </dxf>
    <dxf>
      <numFmt numFmtId="166" formatCode="_(* #,##0_);_(* \(#,##0\);_(* &quot;-&quot;??_);_(@_)"/>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numFmt numFmtId="166" formatCode="_(* #,##0_);_(* \(#,##0\);_(* &quot;-&quot;??_);_(@_)"/>
    </dxf>
    <dxf>
      <numFmt numFmtId="166" formatCode="_(* #,##0_);_(* \(#,##0\);_(* &quot;-&quot;??_);_(@_)"/>
    </dxf>
    <dxf>
      <numFmt numFmtId="166" formatCode="_(* #,##0_);_(* \(#,##0\);_(* &quot;-&quot;??_);_(@_)"/>
    </dxf>
    <dxf>
      <alignment wrapText="1"/>
    </dxf>
    <dxf>
      <alignment wrapText="1"/>
    </dxf>
    <dxf>
      <alignment wrapText="1"/>
    </dxf>
    <dxf>
      <alignment wrapText="1"/>
    </dxf>
    <dxf>
      <alignment wrapText="1"/>
    </dxf>
    <dxf>
      <alignment wrapText="1"/>
    </dxf>
    <dxf>
      <alignment wrapText="1"/>
    </dxf>
    <dxf>
      <numFmt numFmtId="166" formatCode="_(* #,##0_);_(* \(#,##0\);_(* &quot;-&quot;??_);_(@_)"/>
    </dxf>
    <dxf>
      <numFmt numFmtId="166" formatCode="_(* #,##0_);_(* \(#,##0\);_(* &quot;-&quot;??_);_(@_)"/>
    </dxf>
    <dxf>
      <numFmt numFmtId="166" formatCode="_(* #,##0_);_(* \(#,##0\);_(* &quot;-&quot;??_);_(@_)"/>
    </dxf>
    <dxf>
      <alignment wrapText="1"/>
    </dxf>
    <dxf>
      <alignment wrapText="1"/>
    </dxf>
    <dxf>
      <alignment wrapText="1"/>
    </dxf>
    <dxf>
      <alignment wrapText="1"/>
    </dxf>
    <dxf>
      <alignment wrapText="1"/>
    </dxf>
    <dxf>
      <alignment wrapText="1"/>
    </dxf>
    <dxf>
      <alignment wrapText="1"/>
    </dxf>
    <dxf>
      <numFmt numFmtId="166" formatCode="_(* #,##0_);_(* \(#,##0\);_(* &quot;-&quot;??_);_(@_)"/>
    </dxf>
    <dxf>
      <numFmt numFmtId="166" formatCode="_(* #,##0_);_(* \(#,##0\);_(* &quot;-&quot;??_);_(@_)"/>
    </dxf>
  </dxfs>
  <tableStyles count="0" defaultTableStyle="TableStyleMedium2" defaultPivotStyle="PivotStyleLight16"/>
  <colors>
    <mruColors>
      <color rgb="FFE9EDF7"/>
      <color rgb="FFFFF6DD"/>
      <color rgb="FFFDEFE7"/>
      <color rgb="FFF4F9F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1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17"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pivotCacheDefinition" Target="pivotCache/pivotCacheDefinition2.xml"/><Relationship Id="rId5" Type="http://schemas.openxmlformats.org/officeDocument/2006/relationships/worksheet" Target="worksheets/sheet5.xml"/><Relationship Id="rId15" Type="http://schemas.microsoft.com/office/2017/10/relationships/person" Target="persons/person.xml"/><Relationship Id="rId10" Type="http://schemas.openxmlformats.org/officeDocument/2006/relationships/pivotCacheDefinition" Target="pivotCache/pivotCacheDefinition1.xml"/><Relationship Id="rId19"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externalLink" Target="externalLinks/externalLink1.xml"/><Relationship Id="rId14"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r>
              <a:rPr lang="en-GB" b="1"/>
              <a:t>Annual Cummulative ER Target</a:t>
            </a:r>
          </a:p>
        </c:rich>
      </c:tx>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clustered"/>
        <c:varyColors val="0"/>
        <c:ser>
          <c:idx val="0"/>
          <c:order val="0"/>
          <c:tx>
            <c:strRef>
              <c:f>'ER Target'!$G$4</c:f>
              <c:strCache>
                <c:ptCount val="1"/>
                <c:pt idx="0">
                  <c:v> Cummulative ER Target </c:v>
                </c:pt>
              </c:strCache>
            </c:strRef>
          </c:tx>
          <c:spPr>
            <a:solidFill>
              <a:srgbClr val="92D050"/>
            </a:solidFill>
            <a:ln>
              <a:noFill/>
            </a:ln>
            <a:effectLst/>
          </c:spPr>
          <c:invertIfNegative val="0"/>
          <c:cat>
            <c:strRef>
              <c:f>'ER Target'!$H$2:$N$2</c:f>
              <c:strCache>
                <c:ptCount val="7"/>
                <c:pt idx="0">
                  <c:v>Year 1</c:v>
                </c:pt>
                <c:pt idx="1">
                  <c:v>Year 2</c:v>
                </c:pt>
                <c:pt idx="2">
                  <c:v>Year 3</c:v>
                </c:pt>
                <c:pt idx="3">
                  <c:v>Year 4</c:v>
                </c:pt>
                <c:pt idx="4">
                  <c:v>Year 5</c:v>
                </c:pt>
                <c:pt idx="5">
                  <c:v>Year 6</c:v>
                </c:pt>
                <c:pt idx="6">
                  <c:v>Year 7</c:v>
                </c:pt>
              </c:strCache>
            </c:strRef>
          </c:cat>
          <c:val>
            <c:numRef>
              <c:f>'ER Target'!$H$4:$N$4</c:f>
              <c:numCache>
                <c:formatCode>#,##0</c:formatCode>
                <c:ptCount val="7"/>
                <c:pt idx="0">
                  <c:v>1604595.5301417613</c:v>
                </c:pt>
                <c:pt idx="1">
                  <c:v>3209191.0602835226</c:v>
                </c:pt>
                <c:pt idx="2">
                  <c:v>6418382.1205670452</c:v>
                </c:pt>
                <c:pt idx="3">
                  <c:v>9627573.1808505673</c:v>
                </c:pt>
                <c:pt idx="4">
                  <c:v>11232168.710992327</c:v>
                </c:pt>
                <c:pt idx="5">
                  <c:v>12836764.24113409</c:v>
                </c:pt>
                <c:pt idx="6">
                  <c:v>16045955.301417612</c:v>
                </c:pt>
              </c:numCache>
            </c:numRef>
          </c:val>
          <c:extLst>
            <c:ext xmlns:c16="http://schemas.microsoft.com/office/drawing/2014/chart" uri="{C3380CC4-5D6E-409C-BE32-E72D297353CC}">
              <c16:uniqueId val="{00000000-E40B-4CA3-834C-3E8F5BABADDD}"/>
            </c:ext>
          </c:extLst>
        </c:ser>
        <c:dLbls>
          <c:showLegendKey val="0"/>
          <c:showVal val="0"/>
          <c:showCatName val="0"/>
          <c:showSerName val="0"/>
          <c:showPercent val="0"/>
          <c:showBubbleSize val="0"/>
        </c:dLbls>
        <c:gapWidth val="50"/>
        <c:overlap val="-27"/>
        <c:axId val="196049695"/>
        <c:axId val="196052215"/>
      </c:barChart>
      <c:catAx>
        <c:axId val="196049695"/>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96052215"/>
        <c:crosses val="autoZero"/>
        <c:auto val="1"/>
        <c:lblAlgn val="ctr"/>
        <c:lblOffset val="100"/>
        <c:noMultiLvlLbl val="0"/>
      </c:catAx>
      <c:valAx>
        <c:axId val="196052215"/>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96049695"/>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a:t>Implementing Areas in Priority Districts</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stacked"/>
        <c:varyColors val="0"/>
        <c:ser>
          <c:idx val="0"/>
          <c:order val="0"/>
          <c:tx>
            <c:strRef>
              <c:f>'Implementing Areas'!$B$3</c:f>
              <c:strCache>
                <c:ptCount val="1"/>
                <c:pt idx="0">
                  <c:v>Forested areas in mineral soil</c:v>
                </c:pt>
              </c:strCache>
            </c:strRef>
          </c:tx>
          <c:spPr>
            <a:solidFill>
              <a:srgbClr val="92D050"/>
            </a:solidFill>
            <a:ln>
              <a:noFill/>
            </a:ln>
            <a:effectLst/>
          </c:spPr>
          <c:invertIfNegative val="0"/>
          <c:cat>
            <c:strRef>
              <c:f>'Implementing Areas'!$A$4:$A$8</c:f>
              <c:strCache>
                <c:ptCount val="5"/>
                <c:pt idx="0">
                  <c:v>Province</c:v>
                </c:pt>
                <c:pt idx="1">
                  <c:v>Priority Districts</c:v>
                </c:pt>
                <c:pt idx="2">
                  <c:v>Targeted FMUs</c:v>
                </c:pt>
                <c:pt idx="3">
                  <c:v>Private Sectors in targeted districts</c:v>
                </c:pt>
                <c:pt idx="4">
                  <c:v>CA in targeted districts</c:v>
                </c:pt>
              </c:strCache>
            </c:strRef>
          </c:cat>
          <c:val>
            <c:numRef>
              <c:f>'Implementing Areas'!$B$4:$B$8</c:f>
              <c:numCache>
                <c:formatCode>_-* #,##0_-;\-* #,##0_-;_-* "-"??_-;_-@_-</c:formatCode>
                <c:ptCount val="5"/>
                <c:pt idx="0">
                  <c:v>4750297.1178149972</c:v>
                </c:pt>
                <c:pt idx="1">
                  <c:v>3908771.83212659</c:v>
                </c:pt>
                <c:pt idx="2">
                  <c:v>2724213.9308187524</c:v>
                </c:pt>
                <c:pt idx="3">
                  <c:v>1197790.4102284014</c:v>
                </c:pt>
                <c:pt idx="4">
                  <c:v>923575.66080837301</c:v>
                </c:pt>
              </c:numCache>
            </c:numRef>
          </c:val>
          <c:extLst>
            <c:ext xmlns:c16="http://schemas.microsoft.com/office/drawing/2014/chart" uri="{C3380CC4-5D6E-409C-BE32-E72D297353CC}">
              <c16:uniqueId val="{00000000-78BE-4641-BC5B-FCC759C81F91}"/>
            </c:ext>
          </c:extLst>
        </c:ser>
        <c:ser>
          <c:idx val="1"/>
          <c:order val="1"/>
          <c:tx>
            <c:strRef>
              <c:f>'Implementing Areas'!$C$3</c:f>
              <c:strCache>
                <c:ptCount val="1"/>
                <c:pt idx="0">
                  <c:v>Forested areas in peatland</c:v>
                </c:pt>
              </c:strCache>
            </c:strRef>
          </c:tx>
          <c:spPr>
            <a:solidFill>
              <a:schemeClr val="accent2">
                <a:lumMod val="75000"/>
              </a:schemeClr>
            </a:solidFill>
            <a:ln>
              <a:noFill/>
            </a:ln>
            <a:effectLst/>
          </c:spPr>
          <c:invertIfNegative val="0"/>
          <c:cat>
            <c:strRef>
              <c:f>'Implementing Areas'!$A$4:$A$8</c:f>
              <c:strCache>
                <c:ptCount val="5"/>
                <c:pt idx="0">
                  <c:v>Province</c:v>
                </c:pt>
                <c:pt idx="1">
                  <c:v>Priority Districts</c:v>
                </c:pt>
                <c:pt idx="2">
                  <c:v>Targeted FMUs</c:v>
                </c:pt>
                <c:pt idx="3">
                  <c:v>Private Sectors in targeted districts</c:v>
                </c:pt>
                <c:pt idx="4">
                  <c:v>CA in targeted districts</c:v>
                </c:pt>
              </c:strCache>
            </c:strRef>
          </c:cat>
          <c:val>
            <c:numRef>
              <c:f>'Implementing Areas'!$C$4:$C$8</c:f>
              <c:numCache>
                <c:formatCode>_-* #,##0_-;\-* #,##0_-;_-* "-"??_-;_-@_-</c:formatCode>
                <c:ptCount val="5"/>
                <c:pt idx="0">
                  <c:v>771598.31285574764</c:v>
                </c:pt>
                <c:pt idx="1">
                  <c:v>604180.51494538214</c:v>
                </c:pt>
                <c:pt idx="2">
                  <c:v>411987.54683669296</c:v>
                </c:pt>
                <c:pt idx="3">
                  <c:v>221129.25805782125</c:v>
                </c:pt>
                <c:pt idx="4">
                  <c:v>11333.342667546605</c:v>
                </c:pt>
              </c:numCache>
            </c:numRef>
          </c:val>
          <c:extLst>
            <c:ext xmlns:c16="http://schemas.microsoft.com/office/drawing/2014/chart" uri="{C3380CC4-5D6E-409C-BE32-E72D297353CC}">
              <c16:uniqueId val="{00000001-78BE-4641-BC5B-FCC759C81F91}"/>
            </c:ext>
          </c:extLst>
        </c:ser>
        <c:ser>
          <c:idx val="2"/>
          <c:order val="2"/>
          <c:tx>
            <c:strRef>
              <c:f>'Implementing Areas'!$D$3</c:f>
              <c:strCache>
                <c:ptCount val="1"/>
                <c:pt idx="0">
                  <c:v>Non-forested areas in peatland</c:v>
                </c:pt>
              </c:strCache>
            </c:strRef>
          </c:tx>
          <c:spPr>
            <a:solidFill>
              <a:srgbClr val="FFC000"/>
            </a:solidFill>
            <a:ln>
              <a:noFill/>
            </a:ln>
            <a:effectLst/>
          </c:spPr>
          <c:invertIfNegative val="0"/>
          <c:cat>
            <c:strRef>
              <c:f>'Implementing Areas'!$A$4:$A$8</c:f>
              <c:strCache>
                <c:ptCount val="5"/>
                <c:pt idx="0">
                  <c:v>Province</c:v>
                </c:pt>
                <c:pt idx="1">
                  <c:v>Priority Districts</c:v>
                </c:pt>
                <c:pt idx="2">
                  <c:v>Targeted FMUs</c:v>
                </c:pt>
                <c:pt idx="3">
                  <c:v>Private Sectors in targeted districts</c:v>
                </c:pt>
                <c:pt idx="4">
                  <c:v>CA in targeted districts</c:v>
                </c:pt>
              </c:strCache>
            </c:strRef>
          </c:cat>
          <c:val>
            <c:numRef>
              <c:f>'Implementing Areas'!$D$4:$D$8</c:f>
              <c:numCache>
                <c:formatCode>_-* #,##0_-;\-* #,##0_-;_-* "-"??_-;_-@_-</c:formatCode>
                <c:ptCount val="5"/>
                <c:pt idx="0">
                  <c:v>776716.74089079746</c:v>
                </c:pt>
                <c:pt idx="1">
                  <c:v>583118.00610752124</c:v>
                </c:pt>
                <c:pt idx="2">
                  <c:v>130273.27653743853</c:v>
                </c:pt>
                <c:pt idx="3">
                  <c:v>96077.938766733554</c:v>
                </c:pt>
                <c:pt idx="4">
                  <c:v>7762.5900737617685</c:v>
                </c:pt>
              </c:numCache>
            </c:numRef>
          </c:val>
          <c:extLst>
            <c:ext xmlns:c16="http://schemas.microsoft.com/office/drawing/2014/chart" uri="{C3380CC4-5D6E-409C-BE32-E72D297353CC}">
              <c16:uniqueId val="{00000002-78BE-4641-BC5B-FCC759C81F91}"/>
            </c:ext>
          </c:extLst>
        </c:ser>
        <c:dLbls>
          <c:showLegendKey val="0"/>
          <c:showVal val="0"/>
          <c:showCatName val="0"/>
          <c:showSerName val="0"/>
          <c:showPercent val="0"/>
          <c:showBubbleSize val="0"/>
        </c:dLbls>
        <c:gapWidth val="150"/>
        <c:overlap val="100"/>
        <c:axId val="1221917936"/>
        <c:axId val="1221915416"/>
      </c:barChart>
      <c:catAx>
        <c:axId val="122191793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221915416"/>
        <c:crosses val="autoZero"/>
        <c:auto val="1"/>
        <c:lblAlgn val="ctr"/>
        <c:lblOffset val="100"/>
        <c:noMultiLvlLbl val="0"/>
      </c:catAx>
      <c:valAx>
        <c:axId val="1221915416"/>
        <c:scaling>
          <c:orientation val="minMax"/>
        </c:scaling>
        <c:delete val="0"/>
        <c:axPos val="l"/>
        <c:numFmt formatCode="_-* #,##0_-;\-* #,##0_-;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221917936"/>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a:t>Implementing Areas in Targeted Villages</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stacked"/>
        <c:varyColors val="0"/>
        <c:ser>
          <c:idx val="0"/>
          <c:order val="0"/>
          <c:tx>
            <c:strRef>
              <c:f>'Implementing Areas'!$B$11</c:f>
              <c:strCache>
                <c:ptCount val="1"/>
                <c:pt idx="0">
                  <c:v>Forested areas in mineral soil</c:v>
                </c:pt>
              </c:strCache>
            </c:strRef>
          </c:tx>
          <c:spPr>
            <a:solidFill>
              <a:srgbClr val="92D050"/>
            </a:solidFill>
            <a:ln>
              <a:noFill/>
            </a:ln>
            <a:effectLst/>
          </c:spPr>
          <c:invertIfNegative val="0"/>
          <c:cat>
            <c:strRef>
              <c:f>'Implementing Areas'!$A$12:$A$16</c:f>
              <c:strCache>
                <c:ptCount val="5"/>
                <c:pt idx="0">
                  <c:v>Targeted Villages</c:v>
                </c:pt>
                <c:pt idx="1">
                  <c:v>FMUs in targeted villages</c:v>
                </c:pt>
                <c:pt idx="2">
                  <c:v>APL in targeted villages</c:v>
                </c:pt>
                <c:pt idx="3">
                  <c:v>Social Forestry in Targeted villages</c:v>
                </c:pt>
                <c:pt idx="4">
                  <c:v>CA in targeted villages</c:v>
                </c:pt>
              </c:strCache>
            </c:strRef>
          </c:cat>
          <c:val>
            <c:numRef>
              <c:f>'Implementing Areas'!$B$12:$B$16</c:f>
              <c:numCache>
                <c:formatCode>_-* #,##0_-;\-* #,##0_-;_-* "-"??_-;_-@_-</c:formatCode>
                <c:ptCount val="5"/>
                <c:pt idx="0">
                  <c:v>3415749.802378037</c:v>
                </c:pt>
                <c:pt idx="1">
                  <c:v>2390296.9689949872</c:v>
                </c:pt>
                <c:pt idx="2">
                  <c:v>104507.319784013</c:v>
                </c:pt>
                <c:pt idx="3">
                  <c:v>164174.58646991456</c:v>
                </c:pt>
                <c:pt idx="4">
                  <c:v>898862.15170186944</c:v>
                </c:pt>
              </c:numCache>
            </c:numRef>
          </c:val>
          <c:extLst>
            <c:ext xmlns:c16="http://schemas.microsoft.com/office/drawing/2014/chart" uri="{C3380CC4-5D6E-409C-BE32-E72D297353CC}">
              <c16:uniqueId val="{00000000-0758-47BE-9B76-6995D6F93214}"/>
            </c:ext>
          </c:extLst>
        </c:ser>
        <c:ser>
          <c:idx val="3"/>
          <c:order val="1"/>
          <c:tx>
            <c:strRef>
              <c:f>'Implementing Areas'!$C$11</c:f>
              <c:strCache>
                <c:ptCount val="1"/>
                <c:pt idx="0">
                  <c:v>Forested areas in peatland</c:v>
                </c:pt>
              </c:strCache>
            </c:strRef>
          </c:tx>
          <c:spPr>
            <a:solidFill>
              <a:schemeClr val="accent2">
                <a:lumMod val="75000"/>
              </a:schemeClr>
            </a:solidFill>
            <a:ln>
              <a:noFill/>
            </a:ln>
            <a:effectLst/>
          </c:spPr>
          <c:invertIfNegative val="0"/>
          <c:cat>
            <c:strRef>
              <c:f>'Implementing Areas'!$A$12:$A$16</c:f>
              <c:strCache>
                <c:ptCount val="5"/>
                <c:pt idx="0">
                  <c:v>Targeted Villages</c:v>
                </c:pt>
                <c:pt idx="1">
                  <c:v>FMUs in targeted villages</c:v>
                </c:pt>
                <c:pt idx="2">
                  <c:v>APL in targeted villages</c:v>
                </c:pt>
                <c:pt idx="3">
                  <c:v>Social Forestry in Targeted villages</c:v>
                </c:pt>
                <c:pt idx="4">
                  <c:v>CA in targeted villages</c:v>
                </c:pt>
              </c:strCache>
            </c:strRef>
          </c:cat>
          <c:val>
            <c:numRef>
              <c:f>'Implementing Areas'!$C$12:$C$16</c:f>
              <c:numCache>
                <c:formatCode>_-* #,##0_-;\-* #,##0_-;_-* "-"??_-;_-@_-</c:formatCode>
                <c:ptCount val="5"/>
                <c:pt idx="0">
                  <c:v>425883.81663184834</c:v>
                </c:pt>
                <c:pt idx="1">
                  <c:v>338461.39979298762</c:v>
                </c:pt>
                <c:pt idx="2">
                  <c:v>66252.598439551031</c:v>
                </c:pt>
                <c:pt idx="3">
                  <c:v>37850.747921696384</c:v>
                </c:pt>
                <c:pt idx="4">
                  <c:v>7301.166109060051</c:v>
                </c:pt>
              </c:numCache>
            </c:numRef>
          </c:val>
          <c:extLst>
            <c:ext xmlns:c16="http://schemas.microsoft.com/office/drawing/2014/chart" uri="{C3380CC4-5D6E-409C-BE32-E72D297353CC}">
              <c16:uniqueId val="{00000001-0758-47BE-9B76-6995D6F93214}"/>
            </c:ext>
          </c:extLst>
        </c:ser>
        <c:ser>
          <c:idx val="1"/>
          <c:order val="2"/>
          <c:tx>
            <c:strRef>
              <c:f>'Implementing Areas'!$D$11</c:f>
              <c:strCache>
                <c:ptCount val="1"/>
                <c:pt idx="0">
                  <c:v>Non-forested areas in peatland</c:v>
                </c:pt>
              </c:strCache>
            </c:strRef>
          </c:tx>
          <c:spPr>
            <a:solidFill>
              <a:schemeClr val="accent4"/>
            </a:solidFill>
            <a:ln>
              <a:noFill/>
            </a:ln>
            <a:effectLst/>
          </c:spPr>
          <c:invertIfNegative val="0"/>
          <c:cat>
            <c:strRef>
              <c:f>'Implementing Areas'!$A$12:$A$16</c:f>
              <c:strCache>
                <c:ptCount val="5"/>
                <c:pt idx="0">
                  <c:v>Targeted Villages</c:v>
                </c:pt>
                <c:pt idx="1">
                  <c:v>FMUs in targeted villages</c:v>
                </c:pt>
                <c:pt idx="2">
                  <c:v>APL in targeted villages</c:v>
                </c:pt>
                <c:pt idx="3">
                  <c:v>Social Forestry in Targeted villages</c:v>
                </c:pt>
                <c:pt idx="4">
                  <c:v>CA in targeted villages</c:v>
                </c:pt>
              </c:strCache>
            </c:strRef>
          </c:cat>
          <c:val>
            <c:numRef>
              <c:f>'Implementing Areas'!$D$12:$D$16</c:f>
              <c:numCache>
                <c:formatCode>_-* #,##0_-;\-* #,##0_-;_-* "-"??_-;_-@_-</c:formatCode>
                <c:ptCount val="5"/>
                <c:pt idx="0">
                  <c:v>184669.90119201862</c:v>
                </c:pt>
                <c:pt idx="1">
                  <c:v>88983.21990234447</c:v>
                </c:pt>
                <c:pt idx="2">
                  <c:v>84888.819352019476</c:v>
                </c:pt>
                <c:pt idx="3">
                  <c:v>12955.855852819732</c:v>
                </c:pt>
                <c:pt idx="4">
                  <c:v>1428.1903505704404</c:v>
                </c:pt>
              </c:numCache>
            </c:numRef>
          </c:val>
          <c:extLst>
            <c:ext xmlns:c16="http://schemas.microsoft.com/office/drawing/2014/chart" uri="{C3380CC4-5D6E-409C-BE32-E72D297353CC}">
              <c16:uniqueId val="{00000002-0758-47BE-9B76-6995D6F93214}"/>
            </c:ext>
          </c:extLst>
        </c:ser>
        <c:dLbls>
          <c:showLegendKey val="0"/>
          <c:showVal val="0"/>
          <c:showCatName val="0"/>
          <c:showSerName val="0"/>
          <c:showPercent val="0"/>
          <c:showBubbleSize val="0"/>
        </c:dLbls>
        <c:gapWidth val="150"/>
        <c:overlap val="100"/>
        <c:axId val="627097496"/>
        <c:axId val="1221916856"/>
      </c:barChart>
      <c:catAx>
        <c:axId val="62709749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221916856"/>
        <c:crosses val="autoZero"/>
        <c:auto val="1"/>
        <c:lblAlgn val="ctr"/>
        <c:lblOffset val="100"/>
        <c:noMultiLvlLbl val="0"/>
      </c:catAx>
      <c:valAx>
        <c:axId val="1221916856"/>
        <c:scaling>
          <c:orientation val="minMax"/>
        </c:scaling>
        <c:delete val="0"/>
        <c:axPos val="l"/>
        <c:numFmt formatCode="_-* #,##0_-;\-* #,##0_-;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27097496"/>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a:t>Proportion to province</a:t>
            </a:r>
            <a:r>
              <a:rPr lang="en-GB" baseline="0"/>
              <a:t> data</a:t>
            </a:r>
            <a:endParaRPr lang="en-GB"/>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clustered"/>
        <c:varyColors val="0"/>
        <c:ser>
          <c:idx val="0"/>
          <c:order val="0"/>
          <c:tx>
            <c:strRef>
              <c:f>'Implementing Areas'!$M$5</c:f>
              <c:strCache>
                <c:ptCount val="1"/>
                <c:pt idx="0">
                  <c:v>Prioity Districts</c:v>
                </c:pt>
              </c:strCache>
            </c:strRef>
          </c:tx>
          <c:spPr>
            <a:solidFill>
              <a:schemeClr val="accent1"/>
            </a:solidFill>
            <a:ln>
              <a:noFill/>
            </a:ln>
            <a:effectLst/>
          </c:spPr>
          <c:invertIfNegative val="0"/>
          <c:cat>
            <c:strRef>
              <c:extLst>
                <c:ext xmlns:c15="http://schemas.microsoft.com/office/drawing/2012/chart" uri="{02D57815-91ED-43cb-92C2-25804820EDAC}">
                  <c15:fullRef>
                    <c15:sqref>'Implementing Areas'!$N$3:$W$3</c15:sqref>
                  </c15:fullRef>
                </c:ext>
              </c:extLst>
              <c:f>('Implementing Areas'!$N$3:$O$3,'Implementing Areas'!$T$3:$W$3)</c:f>
              <c:strCache>
                <c:ptCount val="6"/>
                <c:pt idx="0">
                  <c:v>Forested areas in mineral soil</c:v>
                </c:pt>
                <c:pt idx="1">
                  <c:v>Forested areas in peatland</c:v>
                </c:pt>
                <c:pt idx="2">
                  <c:v>Total mangrove</c:v>
                </c:pt>
                <c:pt idx="3">
                  <c:v>Total primary forest</c:v>
                </c:pt>
                <c:pt idx="4">
                  <c:v>primary forest in peatland</c:v>
                </c:pt>
                <c:pt idx="5">
                  <c:v>Non forested areas</c:v>
                </c:pt>
              </c:strCache>
            </c:strRef>
          </c:cat>
          <c:val>
            <c:numRef>
              <c:extLst>
                <c:ext xmlns:c15="http://schemas.microsoft.com/office/drawing/2012/chart" uri="{02D57815-91ED-43cb-92C2-25804820EDAC}">
                  <c15:fullRef>
                    <c15:sqref>'Implementing Areas'!$N$5:$W$5</c15:sqref>
                  </c15:fullRef>
                </c:ext>
              </c:extLst>
              <c:f>('Implementing Areas'!$N$5:$O$5,'Implementing Areas'!$T$5:$W$5)</c:f>
              <c:numCache>
                <c:formatCode>0%</c:formatCode>
                <c:ptCount val="6"/>
                <c:pt idx="0">
                  <c:v>0.8228478630247269</c:v>
                </c:pt>
                <c:pt idx="1">
                  <c:v>0.7830246708410511</c:v>
                </c:pt>
                <c:pt idx="2">
                  <c:v>0.78695170947819271</c:v>
                </c:pt>
                <c:pt idx="3">
                  <c:v>0.86006671184589323</c:v>
                </c:pt>
                <c:pt idx="5">
                  <c:v>0.77250477095755521</c:v>
                </c:pt>
              </c:numCache>
            </c:numRef>
          </c:val>
          <c:extLst>
            <c:ext xmlns:c16="http://schemas.microsoft.com/office/drawing/2014/chart" uri="{C3380CC4-5D6E-409C-BE32-E72D297353CC}">
              <c16:uniqueId val="{00000000-7A8D-4345-A415-DF6FDCB57AA4}"/>
            </c:ext>
          </c:extLst>
        </c:ser>
        <c:ser>
          <c:idx val="1"/>
          <c:order val="1"/>
          <c:tx>
            <c:v>FMUs at priority districts</c:v>
          </c:tx>
          <c:spPr>
            <a:solidFill>
              <a:schemeClr val="accent2"/>
            </a:solidFill>
            <a:ln>
              <a:noFill/>
            </a:ln>
            <a:effectLst/>
          </c:spPr>
          <c:invertIfNegative val="0"/>
          <c:cat>
            <c:strRef>
              <c:extLst>
                <c:ext xmlns:c15="http://schemas.microsoft.com/office/drawing/2012/chart" uri="{02D57815-91ED-43cb-92C2-25804820EDAC}">
                  <c15:fullRef>
                    <c15:sqref>'Implementing Areas'!$N$3:$W$3</c15:sqref>
                  </c15:fullRef>
                </c:ext>
              </c:extLst>
              <c:f>('Implementing Areas'!$N$3:$O$3,'Implementing Areas'!$T$3:$W$3)</c:f>
              <c:strCache>
                <c:ptCount val="6"/>
                <c:pt idx="0">
                  <c:v>Forested areas in mineral soil</c:v>
                </c:pt>
                <c:pt idx="1">
                  <c:v>Forested areas in peatland</c:v>
                </c:pt>
                <c:pt idx="2">
                  <c:v>Total mangrove</c:v>
                </c:pt>
                <c:pt idx="3">
                  <c:v>Total primary forest</c:v>
                </c:pt>
                <c:pt idx="4">
                  <c:v>primary forest in peatland</c:v>
                </c:pt>
                <c:pt idx="5">
                  <c:v>Non forested areas</c:v>
                </c:pt>
              </c:strCache>
            </c:strRef>
          </c:cat>
          <c:val>
            <c:numRef>
              <c:extLst>
                <c:ext xmlns:c15="http://schemas.microsoft.com/office/drawing/2012/chart" uri="{02D57815-91ED-43cb-92C2-25804820EDAC}">
                  <c15:fullRef>
                    <c15:sqref>'Implementing Areas'!$N$6:$W$6</c15:sqref>
                  </c15:fullRef>
                </c:ext>
              </c:extLst>
              <c:f>('Implementing Areas'!$N$6:$O$6,'Implementing Areas'!$T$6:$W$6)</c:f>
              <c:numCache>
                <c:formatCode>0%</c:formatCode>
                <c:ptCount val="6"/>
                <c:pt idx="0">
                  <c:v>0.57348285028365009</c:v>
                </c:pt>
                <c:pt idx="1">
                  <c:v>0.533940445400786</c:v>
                </c:pt>
                <c:pt idx="2">
                  <c:v>0.6837284230655426</c:v>
                </c:pt>
                <c:pt idx="3">
                  <c:v>0.46493674275751751</c:v>
                </c:pt>
                <c:pt idx="5">
                  <c:v>0.33170384438737244</c:v>
                </c:pt>
              </c:numCache>
            </c:numRef>
          </c:val>
          <c:extLst>
            <c:ext xmlns:c16="http://schemas.microsoft.com/office/drawing/2014/chart" uri="{C3380CC4-5D6E-409C-BE32-E72D297353CC}">
              <c16:uniqueId val="{00000001-7A8D-4345-A415-DF6FDCB57AA4}"/>
            </c:ext>
          </c:extLst>
        </c:ser>
        <c:ser>
          <c:idx val="2"/>
          <c:order val="2"/>
          <c:tx>
            <c:v>Private sectors at priority districts</c:v>
          </c:tx>
          <c:spPr>
            <a:solidFill>
              <a:schemeClr val="accent3"/>
            </a:solidFill>
            <a:ln>
              <a:noFill/>
            </a:ln>
            <a:effectLst/>
          </c:spPr>
          <c:invertIfNegative val="0"/>
          <c:cat>
            <c:strRef>
              <c:extLst>
                <c:ext xmlns:c15="http://schemas.microsoft.com/office/drawing/2012/chart" uri="{02D57815-91ED-43cb-92C2-25804820EDAC}">
                  <c15:fullRef>
                    <c15:sqref>'Implementing Areas'!$N$3:$W$3</c15:sqref>
                  </c15:fullRef>
                </c:ext>
              </c:extLst>
              <c:f>('Implementing Areas'!$N$3:$O$3,'Implementing Areas'!$T$3:$W$3)</c:f>
              <c:strCache>
                <c:ptCount val="6"/>
                <c:pt idx="0">
                  <c:v>Forested areas in mineral soil</c:v>
                </c:pt>
                <c:pt idx="1">
                  <c:v>Forested areas in peatland</c:v>
                </c:pt>
                <c:pt idx="2">
                  <c:v>Total mangrove</c:v>
                </c:pt>
                <c:pt idx="3">
                  <c:v>Total primary forest</c:v>
                </c:pt>
                <c:pt idx="4">
                  <c:v>primary forest in peatland</c:v>
                </c:pt>
                <c:pt idx="5">
                  <c:v>Non forested areas</c:v>
                </c:pt>
              </c:strCache>
            </c:strRef>
          </c:cat>
          <c:val>
            <c:numRef>
              <c:extLst>
                <c:ext xmlns:c15="http://schemas.microsoft.com/office/drawing/2012/chart" uri="{02D57815-91ED-43cb-92C2-25804820EDAC}">
                  <c15:fullRef>
                    <c15:sqref>'Implementing Areas'!$N$7:$W$7</c15:sqref>
                  </c15:fullRef>
                </c:ext>
              </c:extLst>
              <c:f>('Implementing Areas'!$N$7:$O$7,'Implementing Areas'!$T$7:$W$7)</c:f>
              <c:numCache>
                <c:formatCode>0%</c:formatCode>
                <c:ptCount val="6"/>
                <c:pt idx="0">
                  <c:v>0.25215062984930747</c:v>
                </c:pt>
                <c:pt idx="1">
                  <c:v>0.28658597922460977</c:v>
                </c:pt>
                <c:pt idx="2">
                  <c:v>0.25133916155029468</c:v>
                </c:pt>
                <c:pt idx="3">
                  <c:v>7.8720736918872311E-2</c:v>
                </c:pt>
                <c:pt idx="5">
                  <c:v>0.20695667321913111</c:v>
                </c:pt>
              </c:numCache>
            </c:numRef>
          </c:val>
          <c:extLst>
            <c:ext xmlns:c16="http://schemas.microsoft.com/office/drawing/2014/chart" uri="{C3380CC4-5D6E-409C-BE32-E72D297353CC}">
              <c16:uniqueId val="{00000002-7A8D-4345-A415-DF6FDCB57AA4}"/>
            </c:ext>
          </c:extLst>
        </c:ser>
        <c:dLbls>
          <c:showLegendKey val="0"/>
          <c:showVal val="0"/>
          <c:showCatName val="0"/>
          <c:showSerName val="0"/>
          <c:showPercent val="0"/>
          <c:showBubbleSize val="0"/>
        </c:dLbls>
        <c:gapWidth val="219"/>
        <c:overlap val="-27"/>
        <c:axId val="1423047816"/>
        <c:axId val="1423047096"/>
      </c:barChart>
      <c:catAx>
        <c:axId val="142304781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423047096"/>
        <c:crosses val="autoZero"/>
        <c:auto val="1"/>
        <c:lblAlgn val="ctr"/>
        <c:lblOffset val="100"/>
        <c:noMultiLvlLbl val="0"/>
      </c:catAx>
      <c:valAx>
        <c:axId val="1423047096"/>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423047816"/>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a:t>Proportion of</a:t>
            </a:r>
            <a:r>
              <a:rPr lang="en-GB" baseline="0"/>
              <a:t> priority villages' implementing areas to province REDD+ implementing areas</a:t>
            </a:r>
            <a:endParaRPr lang="en-GB"/>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clustered"/>
        <c:varyColors val="0"/>
        <c:ser>
          <c:idx val="0"/>
          <c:order val="0"/>
          <c:tx>
            <c:v>Priority villages</c:v>
          </c:tx>
          <c:spPr>
            <a:solidFill>
              <a:schemeClr val="accent1"/>
            </a:solidFill>
            <a:ln>
              <a:noFill/>
            </a:ln>
            <a:effectLst/>
          </c:spPr>
          <c:invertIfNegative val="0"/>
          <c:cat>
            <c:strRef>
              <c:f>'Implementing Areas'!$N$11:$W$11</c:f>
              <c:strCache>
                <c:ptCount val="10"/>
                <c:pt idx="0">
                  <c:v>Forested areas in mineral soil</c:v>
                </c:pt>
                <c:pt idx="1">
                  <c:v>Forested areas in peatland</c:v>
                </c:pt>
                <c:pt idx="2">
                  <c:v>Non-forested areas in peatland</c:v>
                </c:pt>
                <c:pt idx="3">
                  <c:v>Total Forest</c:v>
                </c:pt>
                <c:pt idx="4">
                  <c:v>Total Peatland</c:v>
                </c:pt>
                <c:pt idx="5">
                  <c:v>Total Intervention Area</c:v>
                </c:pt>
                <c:pt idx="6">
                  <c:v>Total mangrove</c:v>
                </c:pt>
                <c:pt idx="7">
                  <c:v>Total primary forest</c:v>
                </c:pt>
                <c:pt idx="8">
                  <c:v>primary forest in peatland</c:v>
                </c:pt>
                <c:pt idx="9">
                  <c:v>Non forested areas</c:v>
                </c:pt>
              </c:strCache>
            </c:strRef>
          </c:cat>
          <c:val>
            <c:numRef>
              <c:f>'Implementing Areas'!$N$12:$W$12</c:f>
              <c:numCache>
                <c:formatCode>0%</c:formatCode>
                <c:ptCount val="10"/>
                <c:pt idx="0">
                  <c:v>0.71906024353044795</c:v>
                </c:pt>
                <c:pt idx="1">
                  <c:v>0.55195016569647226</c:v>
                </c:pt>
                <c:pt idx="2">
                  <c:v>0.23775707599687529</c:v>
                </c:pt>
                <c:pt idx="3">
                  <c:v>0.69570923014441111</c:v>
                </c:pt>
                <c:pt idx="4">
                  <c:v>0.39433429026377786</c:v>
                </c:pt>
                <c:pt idx="5">
                  <c:v>0.63923661443719426</c:v>
                </c:pt>
                <c:pt idx="6">
                  <c:v>0.63961834455866451</c:v>
                </c:pt>
                <c:pt idx="7">
                  <c:v>0.85291267082773314</c:v>
                </c:pt>
                <c:pt idx="9">
                  <c:v>0.19276739080959265</c:v>
                </c:pt>
              </c:numCache>
            </c:numRef>
          </c:val>
          <c:extLst>
            <c:ext xmlns:c16="http://schemas.microsoft.com/office/drawing/2014/chart" uri="{C3380CC4-5D6E-409C-BE32-E72D297353CC}">
              <c16:uniqueId val="{00000000-B429-4073-B299-9397B29470F5}"/>
            </c:ext>
          </c:extLst>
        </c:ser>
        <c:ser>
          <c:idx val="1"/>
          <c:order val="1"/>
          <c:tx>
            <c:v>FMUs at priority villages</c:v>
          </c:tx>
          <c:spPr>
            <a:solidFill>
              <a:schemeClr val="accent2"/>
            </a:solidFill>
            <a:ln>
              <a:noFill/>
            </a:ln>
            <a:effectLst/>
          </c:spPr>
          <c:invertIfNegative val="0"/>
          <c:cat>
            <c:strRef>
              <c:f>'Implementing Areas'!$N$11:$W$11</c:f>
              <c:strCache>
                <c:ptCount val="10"/>
                <c:pt idx="0">
                  <c:v>Forested areas in mineral soil</c:v>
                </c:pt>
                <c:pt idx="1">
                  <c:v>Forested areas in peatland</c:v>
                </c:pt>
                <c:pt idx="2">
                  <c:v>Non-forested areas in peatland</c:v>
                </c:pt>
                <c:pt idx="3">
                  <c:v>Total Forest</c:v>
                </c:pt>
                <c:pt idx="4">
                  <c:v>Total Peatland</c:v>
                </c:pt>
                <c:pt idx="5">
                  <c:v>Total Intervention Area</c:v>
                </c:pt>
                <c:pt idx="6">
                  <c:v>Total mangrove</c:v>
                </c:pt>
                <c:pt idx="7">
                  <c:v>Total primary forest</c:v>
                </c:pt>
                <c:pt idx="8">
                  <c:v>primary forest in peatland</c:v>
                </c:pt>
                <c:pt idx="9">
                  <c:v>Non forested areas</c:v>
                </c:pt>
              </c:strCache>
            </c:strRef>
          </c:cat>
          <c:val>
            <c:numRef>
              <c:f>'Implementing Areas'!$N$13:$W$13</c:f>
              <c:numCache>
                <c:formatCode>0%</c:formatCode>
                <c:ptCount val="10"/>
                <c:pt idx="0">
                  <c:v>0.50318893949405341</c:v>
                </c:pt>
                <c:pt idx="1">
                  <c:v>0.43864974061479561</c:v>
                </c:pt>
                <c:pt idx="2">
                  <c:v>0.11456328313497117</c:v>
                </c:pt>
                <c:pt idx="3">
                  <c:v>0.49417059831147742</c:v>
                </c:pt>
                <c:pt idx="4">
                  <c:v>0.27607082851840797</c:v>
                </c:pt>
                <c:pt idx="5">
                  <c:v>0.44735911847573712</c:v>
                </c:pt>
                <c:pt idx="6">
                  <c:v>0.59062661842189346</c:v>
                </c:pt>
                <c:pt idx="7">
                  <c:v>0.45916680162776768</c:v>
                </c:pt>
                <c:pt idx="9">
                  <c:v>0.11872181926100263</c:v>
                </c:pt>
              </c:numCache>
            </c:numRef>
          </c:val>
          <c:extLst>
            <c:ext xmlns:c16="http://schemas.microsoft.com/office/drawing/2014/chart" uri="{C3380CC4-5D6E-409C-BE32-E72D297353CC}">
              <c16:uniqueId val="{00000001-B429-4073-B299-9397B29470F5}"/>
            </c:ext>
          </c:extLst>
        </c:ser>
        <c:ser>
          <c:idx val="2"/>
          <c:order val="2"/>
          <c:tx>
            <c:v>APL at priority villages</c:v>
          </c:tx>
          <c:spPr>
            <a:solidFill>
              <a:schemeClr val="accent3"/>
            </a:solidFill>
            <a:ln>
              <a:noFill/>
            </a:ln>
            <a:effectLst/>
          </c:spPr>
          <c:invertIfNegative val="0"/>
          <c:cat>
            <c:strRef>
              <c:f>'Implementing Areas'!$N$11:$W$11</c:f>
              <c:strCache>
                <c:ptCount val="10"/>
                <c:pt idx="0">
                  <c:v>Forested areas in mineral soil</c:v>
                </c:pt>
                <c:pt idx="1">
                  <c:v>Forested areas in peatland</c:v>
                </c:pt>
                <c:pt idx="2">
                  <c:v>Non-forested areas in peatland</c:v>
                </c:pt>
                <c:pt idx="3">
                  <c:v>Total Forest</c:v>
                </c:pt>
                <c:pt idx="4">
                  <c:v>Total Peatland</c:v>
                </c:pt>
                <c:pt idx="5">
                  <c:v>Total Intervention Area</c:v>
                </c:pt>
                <c:pt idx="6">
                  <c:v>Total mangrove</c:v>
                </c:pt>
                <c:pt idx="7">
                  <c:v>Total primary forest</c:v>
                </c:pt>
                <c:pt idx="8">
                  <c:v>primary forest in peatland</c:v>
                </c:pt>
                <c:pt idx="9">
                  <c:v>Non forested areas</c:v>
                </c:pt>
              </c:strCache>
            </c:strRef>
          </c:cat>
          <c:val>
            <c:numRef>
              <c:f>'Implementing Areas'!$N$14:$W$14</c:f>
              <c:numCache>
                <c:formatCode>0%</c:formatCode>
                <c:ptCount val="10"/>
                <c:pt idx="0">
                  <c:v>2.200016487223086E-2</c:v>
                </c:pt>
                <c:pt idx="1">
                  <c:v>8.5864104853138959E-2</c:v>
                </c:pt>
                <c:pt idx="2">
                  <c:v>0.10929186263535734</c:v>
                </c:pt>
                <c:pt idx="3">
                  <c:v>6.1670410315292384E-2</c:v>
                </c:pt>
                <c:pt idx="4">
                  <c:v>9.7616707546597251E-2</c:v>
                </c:pt>
                <c:pt idx="5">
                  <c:v>4.0588105857643796E-2</c:v>
                </c:pt>
                <c:pt idx="6">
                  <c:v>4.6730536065751088E-2</c:v>
                </c:pt>
                <c:pt idx="7">
                  <c:v>5.3213656667179825E-4</c:v>
                </c:pt>
                <c:pt idx="9">
                  <c:v>5.6461737403112076E-2</c:v>
                </c:pt>
              </c:numCache>
            </c:numRef>
          </c:val>
          <c:extLst>
            <c:ext xmlns:c16="http://schemas.microsoft.com/office/drawing/2014/chart" uri="{C3380CC4-5D6E-409C-BE32-E72D297353CC}">
              <c16:uniqueId val="{00000002-B429-4073-B299-9397B29470F5}"/>
            </c:ext>
          </c:extLst>
        </c:ser>
        <c:ser>
          <c:idx val="3"/>
          <c:order val="3"/>
          <c:tx>
            <c:v>Social forestry at priority villages</c:v>
          </c:tx>
          <c:spPr>
            <a:solidFill>
              <a:schemeClr val="accent4"/>
            </a:solidFill>
            <a:ln>
              <a:noFill/>
            </a:ln>
            <a:effectLst/>
          </c:spPr>
          <c:invertIfNegative val="0"/>
          <c:cat>
            <c:strRef>
              <c:f>'Implementing Areas'!$N$11:$W$11</c:f>
              <c:strCache>
                <c:ptCount val="10"/>
                <c:pt idx="0">
                  <c:v>Forested areas in mineral soil</c:v>
                </c:pt>
                <c:pt idx="1">
                  <c:v>Forested areas in peatland</c:v>
                </c:pt>
                <c:pt idx="2">
                  <c:v>Non-forested areas in peatland</c:v>
                </c:pt>
                <c:pt idx="3">
                  <c:v>Total Forest</c:v>
                </c:pt>
                <c:pt idx="4">
                  <c:v>Total Peatland</c:v>
                </c:pt>
                <c:pt idx="5">
                  <c:v>Total Intervention Area</c:v>
                </c:pt>
                <c:pt idx="6">
                  <c:v>Total mangrove</c:v>
                </c:pt>
                <c:pt idx="7">
                  <c:v>Total primary forest</c:v>
                </c:pt>
                <c:pt idx="8">
                  <c:v>primary forest in peatland</c:v>
                </c:pt>
                <c:pt idx="9">
                  <c:v>Non forested areas</c:v>
                </c:pt>
              </c:strCache>
            </c:strRef>
          </c:cat>
          <c:val>
            <c:numRef>
              <c:f>'Implementing Areas'!$N$15:$W$15</c:f>
              <c:numCache>
                <c:formatCode>0%</c:formatCode>
                <c:ptCount val="10"/>
                <c:pt idx="0">
                  <c:v>3.4560909012240952E-2</c:v>
                </c:pt>
                <c:pt idx="1">
                  <c:v>4.9054990519105349E-2</c:v>
                </c:pt>
                <c:pt idx="2">
                  <c:v>1.6680284035027977E-2</c:v>
                </c:pt>
                <c:pt idx="3">
                  <c:v>4.1278769031227909E-2</c:v>
                </c:pt>
                <c:pt idx="4">
                  <c:v>3.2814125039717541E-2</c:v>
                </c:pt>
                <c:pt idx="5">
                  <c:v>3.4131517291234155E-2</c:v>
                </c:pt>
                <c:pt idx="6">
                  <c:v>0.30173505566504666</c:v>
                </c:pt>
                <c:pt idx="7">
                  <c:v>1.047412096026603E-2</c:v>
                </c:pt>
                <c:pt idx="9">
                  <c:v>2.0318608039790124E-2</c:v>
                </c:pt>
              </c:numCache>
            </c:numRef>
          </c:val>
          <c:extLst>
            <c:ext xmlns:c16="http://schemas.microsoft.com/office/drawing/2014/chart" uri="{C3380CC4-5D6E-409C-BE32-E72D297353CC}">
              <c16:uniqueId val="{00000003-B429-4073-B299-9397B29470F5}"/>
            </c:ext>
          </c:extLst>
        </c:ser>
        <c:dLbls>
          <c:showLegendKey val="0"/>
          <c:showVal val="0"/>
          <c:showCatName val="0"/>
          <c:showSerName val="0"/>
          <c:showPercent val="0"/>
          <c:showBubbleSize val="0"/>
        </c:dLbls>
        <c:gapWidth val="219"/>
        <c:overlap val="-27"/>
        <c:axId val="1241195544"/>
        <c:axId val="1241194824"/>
      </c:barChart>
      <c:catAx>
        <c:axId val="124119554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241194824"/>
        <c:crosses val="autoZero"/>
        <c:auto val="1"/>
        <c:lblAlgn val="ctr"/>
        <c:lblOffset val="100"/>
        <c:noMultiLvlLbl val="0"/>
      </c:catAx>
      <c:valAx>
        <c:axId val="1241194824"/>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241195544"/>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stacked"/>
        <c:varyColors val="0"/>
        <c:ser>
          <c:idx val="0"/>
          <c:order val="0"/>
          <c:spPr>
            <a:solidFill>
              <a:schemeClr val="accent1"/>
            </a:solidFill>
            <a:ln>
              <a:noFill/>
            </a:ln>
            <a:effectLst/>
          </c:spPr>
          <c:invertIfNegative val="0"/>
          <c:cat>
            <c:strRef>
              <c:extLst>
                <c:ext xmlns:c15="http://schemas.microsoft.com/office/drawing/2012/chart" uri="{02D57815-91ED-43cb-92C2-25804820EDAC}">
                  <c15:fullRef>
                    <c15:sqref>'Implementing Areas'!$B$11:$K$11</c15:sqref>
                  </c15:fullRef>
                </c:ext>
              </c:extLst>
              <c:f>('Implementing Areas'!$B$11:$D$11,'Implementing Areas'!$H$11:$K$11)</c:f>
              <c:strCache>
                <c:ptCount val="7"/>
                <c:pt idx="0">
                  <c:v>Forested areas in mineral soil</c:v>
                </c:pt>
                <c:pt idx="1">
                  <c:v>Forested areas in peatland</c:v>
                </c:pt>
                <c:pt idx="2">
                  <c:v>Non-forested areas in peatland</c:v>
                </c:pt>
                <c:pt idx="3">
                  <c:v>Total mangrove</c:v>
                </c:pt>
                <c:pt idx="4">
                  <c:v>Total primary forest</c:v>
                </c:pt>
                <c:pt idx="5">
                  <c:v>primary forest in peatland</c:v>
                </c:pt>
                <c:pt idx="6">
                  <c:v>Non forested areas</c:v>
                </c:pt>
              </c:strCache>
            </c:strRef>
          </c:cat>
          <c:val>
            <c:numRef>
              <c:extLst>
                <c:ext xmlns:c15="http://schemas.microsoft.com/office/drawing/2012/chart" uri="{02D57815-91ED-43cb-92C2-25804820EDAC}">
                  <c15:fullRef>
                    <c15:sqref>'Implementing Areas'!$B$4:$K$4</c15:sqref>
                  </c15:fullRef>
                </c:ext>
              </c:extLst>
              <c:f>('Implementing Areas'!$B$4:$D$4,'Implementing Areas'!$H$4:$K$4)</c:f>
              <c:numCache>
                <c:formatCode>_-* #,##0_-;\-* #,##0_-;_-* "-"??_-;_-@_-</c:formatCode>
                <c:ptCount val="7"/>
                <c:pt idx="0">
                  <c:v>4750297.1178149972</c:v>
                </c:pt>
                <c:pt idx="1">
                  <c:v>771598.31285574764</c:v>
                </c:pt>
                <c:pt idx="2">
                  <c:v>776716.74089079746</c:v>
                </c:pt>
                <c:pt idx="3">
                  <c:v>116396.26479939079</c:v>
                </c:pt>
                <c:pt idx="4">
                  <c:v>2208933.3853033721</c:v>
                </c:pt>
                <c:pt idx="6">
                  <c:v>918132.60040928319</c:v>
                </c:pt>
              </c:numCache>
            </c:numRef>
          </c:val>
          <c:extLst>
            <c:ext xmlns:c16="http://schemas.microsoft.com/office/drawing/2014/chart" uri="{C3380CC4-5D6E-409C-BE32-E72D297353CC}">
              <c16:uniqueId val="{00000000-1D88-4566-ABA2-C65441C847AD}"/>
            </c:ext>
          </c:extLst>
        </c:ser>
        <c:ser>
          <c:idx val="1"/>
          <c:order val="1"/>
          <c:spPr>
            <a:solidFill>
              <a:schemeClr val="accent2"/>
            </a:solidFill>
            <a:ln>
              <a:noFill/>
            </a:ln>
            <a:effectLst/>
          </c:spPr>
          <c:invertIfNegative val="0"/>
          <c:cat>
            <c:strRef>
              <c:extLst>
                <c:ext xmlns:c15="http://schemas.microsoft.com/office/drawing/2012/chart" uri="{02D57815-91ED-43cb-92C2-25804820EDAC}">
                  <c15:fullRef>
                    <c15:sqref>'Implementing Areas'!$B$11:$K$11</c15:sqref>
                  </c15:fullRef>
                </c:ext>
              </c:extLst>
              <c:f>('Implementing Areas'!$B$11:$D$11,'Implementing Areas'!$H$11:$K$11)</c:f>
              <c:strCache>
                <c:ptCount val="7"/>
                <c:pt idx="0">
                  <c:v>Forested areas in mineral soil</c:v>
                </c:pt>
                <c:pt idx="1">
                  <c:v>Forested areas in peatland</c:v>
                </c:pt>
                <c:pt idx="2">
                  <c:v>Non-forested areas in peatland</c:v>
                </c:pt>
                <c:pt idx="3">
                  <c:v>Total mangrove</c:v>
                </c:pt>
                <c:pt idx="4">
                  <c:v>Total primary forest</c:v>
                </c:pt>
                <c:pt idx="5">
                  <c:v>primary forest in peatland</c:v>
                </c:pt>
                <c:pt idx="6">
                  <c:v>Non forested areas</c:v>
                </c:pt>
              </c:strCache>
            </c:strRef>
          </c:cat>
          <c:val>
            <c:numRef>
              <c:extLst>
                <c:ext xmlns:c15="http://schemas.microsoft.com/office/drawing/2012/chart" uri="{02D57815-91ED-43cb-92C2-25804820EDAC}">
                  <c15:fullRef>
                    <c15:sqref>'Implementing Areas'!$B$5:$K$5</c15:sqref>
                  </c15:fullRef>
                </c:ext>
              </c:extLst>
              <c:f>('Implementing Areas'!$B$5:$D$5,'Implementing Areas'!$H$5:$K$5)</c:f>
              <c:numCache>
                <c:formatCode>_-* #,##0_-;\-* #,##0_-;_-* "-"??_-;_-@_-</c:formatCode>
                <c:ptCount val="7"/>
                <c:pt idx="0">
                  <c:v>3908771.83212659</c:v>
                </c:pt>
                <c:pt idx="1">
                  <c:v>604180.51494538214</c:v>
                </c:pt>
                <c:pt idx="2">
                  <c:v>583118.00610752124</c:v>
                </c:pt>
                <c:pt idx="3">
                  <c:v>91598.239560756963</c:v>
                </c:pt>
                <c:pt idx="4">
                  <c:v>1899830.0733844887</c:v>
                </c:pt>
                <c:pt idx="5">
                  <c:v>0</c:v>
                </c:pt>
                <c:pt idx="6">
                  <c:v>709261.81418783788</c:v>
                </c:pt>
              </c:numCache>
            </c:numRef>
          </c:val>
          <c:extLst>
            <c:ext xmlns:c16="http://schemas.microsoft.com/office/drawing/2014/chart" uri="{C3380CC4-5D6E-409C-BE32-E72D297353CC}">
              <c16:uniqueId val="{00000001-1D88-4566-ABA2-C65441C847AD}"/>
            </c:ext>
          </c:extLst>
        </c:ser>
        <c:ser>
          <c:idx val="2"/>
          <c:order val="2"/>
          <c:spPr>
            <a:solidFill>
              <a:schemeClr val="accent3"/>
            </a:solidFill>
            <a:ln>
              <a:noFill/>
            </a:ln>
            <a:effectLst/>
          </c:spPr>
          <c:invertIfNegative val="0"/>
          <c:cat>
            <c:strRef>
              <c:extLst>
                <c:ext xmlns:c15="http://schemas.microsoft.com/office/drawing/2012/chart" uri="{02D57815-91ED-43cb-92C2-25804820EDAC}">
                  <c15:fullRef>
                    <c15:sqref>'Implementing Areas'!$B$11:$K$11</c15:sqref>
                  </c15:fullRef>
                </c:ext>
              </c:extLst>
              <c:f>('Implementing Areas'!$B$11:$D$11,'Implementing Areas'!$H$11:$K$11)</c:f>
              <c:strCache>
                <c:ptCount val="7"/>
                <c:pt idx="0">
                  <c:v>Forested areas in mineral soil</c:v>
                </c:pt>
                <c:pt idx="1">
                  <c:v>Forested areas in peatland</c:v>
                </c:pt>
                <c:pt idx="2">
                  <c:v>Non-forested areas in peatland</c:v>
                </c:pt>
                <c:pt idx="3">
                  <c:v>Total mangrove</c:v>
                </c:pt>
                <c:pt idx="4">
                  <c:v>Total primary forest</c:v>
                </c:pt>
                <c:pt idx="5">
                  <c:v>primary forest in peatland</c:v>
                </c:pt>
                <c:pt idx="6">
                  <c:v>Non forested areas</c:v>
                </c:pt>
              </c:strCache>
            </c:strRef>
          </c:cat>
          <c:val>
            <c:numRef>
              <c:extLst>
                <c:ext xmlns:c15="http://schemas.microsoft.com/office/drawing/2012/chart" uri="{02D57815-91ED-43cb-92C2-25804820EDAC}">
                  <c15:fullRef>
                    <c15:sqref>'Implementing Areas'!$B$6:$K$6</c15:sqref>
                  </c15:fullRef>
                </c:ext>
              </c:extLst>
              <c:f>('Implementing Areas'!$B$6:$D$6,'Implementing Areas'!$H$6:$K$6)</c:f>
              <c:numCache>
                <c:formatCode>_-* #,##0_-;\-* #,##0_-;_-* "-"??_-;_-@_-</c:formatCode>
                <c:ptCount val="7"/>
                <c:pt idx="0">
                  <c:v>2724213.9308187524</c:v>
                </c:pt>
                <c:pt idx="1">
                  <c:v>411987.54683669296</c:v>
                </c:pt>
                <c:pt idx="2">
                  <c:v>130273.27653743853</c:v>
                </c:pt>
                <c:pt idx="3">
                  <c:v>79583.434582006783</c:v>
                </c:pt>
                <c:pt idx="4">
                  <c:v>1027014.2931312862</c:v>
                </c:pt>
                <c:pt idx="5">
                  <c:v>0</c:v>
                </c:pt>
                <c:pt idx="6">
                  <c:v>304548.11321313446</c:v>
                </c:pt>
              </c:numCache>
            </c:numRef>
          </c:val>
          <c:extLst>
            <c:ext xmlns:c16="http://schemas.microsoft.com/office/drawing/2014/chart" uri="{C3380CC4-5D6E-409C-BE32-E72D297353CC}">
              <c16:uniqueId val="{00000002-1D88-4566-ABA2-C65441C847AD}"/>
            </c:ext>
          </c:extLst>
        </c:ser>
        <c:ser>
          <c:idx val="3"/>
          <c:order val="3"/>
          <c:spPr>
            <a:solidFill>
              <a:schemeClr val="accent4"/>
            </a:solidFill>
            <a:ln>
              <a:noFill/>
            </a:ln>
            <a:effectLst/>
          </c:spPr>
          <c:invertIfNegative val="0"/>
          <c:cat>
            <c:strRef>
              <c:extLst>
                <c:ext xmlns:c15="http://schemas.microsoft.com/office/drawing/2012/chart" uri="{02D57815-91ED-43cb-92C2-25804820EDAC}">
                  <c15:fullRef>
                    <c15:sqref>'Implementing Areas'!$B$11:$K$11</c15:sqref>
                  </c15:fullRef>
                </c:ext>
              </c:extLst>
              <c:f>('Implementing Areas'!$B$11:$D$11,'Implementing Areas'!$H$11:$K$11)</c:f>
              <c:strCache>
                <c:ptCount val="7"/>
                <c:pt idx="0">
                  <c:v>Forested areas in mineral soil</c:v>
                </c:pt>
                <c:pt idx="1">
                  <c:v>Forested areas in peatland</c:v>
                </c:pt>
                <c:pt idx="2">
                  <c:v>Non-forested areas in peatland</c:v>
                </c:pt>
                <c:pt idx="3">
                  <c:v>Total mangrove</c:v>
                </c:pt>
                <c:pt idx="4">
                  <c:v>Total primary forest</c:v>
                </c:pt>
                <c:pt idx="5">
                  <c:v>primary forest in peatland</c:v>
                </c:pt>
                <c:pt idx="6">
                  <c:v>Non forested areas</c:v>
                </c:pt>
              </c:strCache>
            </c:strRef>
          </c:cat>
          <c:val>
            <c:numRef>
              <c:extLst>
                <c:ext xmlns:c15="http://schemas.microsoft.com/office/drawing/2012/chart" uri="{02D57815-91ED-43cb-92C2-25804820EDAC}">
                  <c15:fullRef>
                    <c15:sqref>'Implementing Areas'!$B$7:$K$7</c15:sqref>
                  </c15:fullRef>
                </c:ext>
              </c:extLst>
              <c:f>('Implementing Areas'!$B$7:$D$7,'Implementing Areas'!$H$7:$K$7)</c:f>
              <c:numCache>
                <c:formatCode>_-* #,##0_-;\-* #,##0_-;_-* "-"??_-;_-@_-</c:formatCode>
                <c:ptCount val="7"/>
                <c:pt idx="0">
                  <c:v>1197790.4102284014</c:v>
                </c:pt>
                <c:pt idx="1">
                  <c:v>221129.25805782125</c:v>
                </c:pt>
                <c:pt idx="2">
                  <c:v>96077.938766733554</c:v>
                </c:pt>
                <c:pt idx="3">
                  <c:v>29254.93960226496</c:v>
                </c:pt>
                <c:pt idx="4">
                  <c:v>173888.86389578076</c:v>
                </c:pt>
                <c:pt idx="5">
                  <c:v>0</c:v>
                </c:pt>
                <c:pt idx="6">
                  <c:v>190013.66855473511</c:v>
                </c:pt>
              </c:numCache>
            </c:numRef>
          </c:val>
          <c:extLst>
            <c:ext xmlns:c16="http://schemas.microsoft.com/office/drawing/2014/chart" uri="{C3380CC4-5D6E-409C-BE32-E72D297353CC}">
              <c16:uniqueId val="{00000003-1D88-4566-ABA2-C65441C847AD}"/>
            </c:ext>
          </c:extLst>
        </c:ser>
        <c:ser>
          <c:idx val="4"/>
          <c:order val="4"/>
          <c:spPr>
            <a:solidFill>
              <a:schemeClr val="accent5"/>
            </a:solidFill>
            <a:ln>
              <a:noFill/>
            </a:ln>
            <a:effectLst/>
          </c:spPr>
          <c:invertIfNegative val="0"/>
          <c:cat>
            <c:strRef>
              <c:extLst>
                <c:ext xmlns:c15="http://schemas.microsoft.com/office/drawing/2012/chart" uri="{02D57815-91ED-43cb-92C2-25804820EDAC}">
                  <c15:fullRef>
                    <c15:sqref>'Implementing Areas'!$B$11:$K$11</c15:sqref>
                  </c15:fullRef>
                </c:ext>
              </c:extLst>
              <c:f>('Implementing Areas'!$B$11:$D$11,'Implementing Areas'!$H$11:$K$11)</c:f>
              <c:strCache>
                <c:ptCount val="7"/>
                <c:pt idx="0">
                  <c:v>Forested areas in mineral soil</c:v>
                </c:pt>
                <c:pt idx="1">
                  <c:v>Forested areas in peatland</c:v>
                </c:pt>
                <c:pt idx="2">
                  <c:v>Non-forested areas in peatland</c:v>
                </c:pt>
                <c:pt idx="3">
                  <c:v>Total mangrove</c:v>
                </c:pt>
                <c:pt idx="4">
                  <c:v>Total primary forest</c:v>
                </c:pt>
                <c:pt idx="5">
                  <c:v>primary forest in peatland</c:v>
                </c:pt>
                <c:pt idx="6">
                  <c:v>Non forested areas</c:v>
                </c:pt>
              </c:strCache>
            </c:strRef>
          </c:cat>
          <c:val>
            <c:numRef>
              <c:extLst>
                <c:ext xmlns:c15="http://schemas.microsoft.com/office/drawing/2012/chart" uri="{02D57815-91ED-43cb-92C2-25804820EDAC}">
                  <c15:fullRef>
                    <c15:sqref>'Implementing Areas'!$B$8:$K$8</c15:sqref>
                  </c15:fullRef>
                </c:ext>
              </c:extLst>
              <c:f>('Implementing Areas'!$B$8:$D$8,'Implementing Areas'!$H$8:$K$8)</c:f>
              <c:numCache>
                <c:formatCode>_-* #,##0_-;\-* #,##0_-;_-* "-"??_-;_-@_-</c:formatCode>
                <c:ptCount val="7"/>
                <c:pt idx="0">
                  <c:v>923575.66080837301</c:v>
                </c:pt>
                <c:pt idx="1">
                  <c:v>11333.342667546605</c:v>
                </c:pt>
                <c:pt idx="2">
                  <c:v>7762.5900737617685</c:v>
                </c:pt>
                <c:pt idx="3">
                  <c:v>0</c:v>
                </c:pt>
                <c:pt idx="4">
                  <c:v>856505.5391423296</c:v>
                </c:pt>
                <c:pt idx="5">
                  <c:v>0</c:v>
                </c:pt>
              </c:numCache>
            </c:numRef>
          </c:val>
          <c:extLst>
            <c:ext xmlns:c16="http://schemas.microsoft.com/office/drawing/2014/chart" uri="{C3380CC4-5D6E-409C-BE32-E72D297353CC}">
              <c16:uniqueId val="{00000004-1D88-4566-ABA2-C65441C847AD}"/>
            </c:ext>
          </c:extLst>
        </c:ser>
        <c:ser>
          <c:idx val="5"/>
          <c:order val="5"/>
          <c:spPr>
            <a:solidFill>
              <a:schemeClr val="accent6"/>
            </a:solidFill>
            <a:ln>
              <a:noFill/>
            </a:ln>
            <a:effectLst/>
          </c:spPr>
          <c:invertIfNegative val="0"/>
          <c:cat>
            <c:strRef>
              <c:extLst>
                <c:ext xmlns:c15="http://schemas.microsoft.com/office/drawing/2012/chart" uri="{02D57815-91ED-43cb-92C2-25804820EDAC}">
                  <c15:fullRef>
                    <c15:sqref>'Implementing Areas'!$B$11:$K$11</c15:sqref>
                  </c15:fullRef>
                </c:ext>
              </c:extLst>
              <c:f>('Implementing Areas'!$B$11:$D$11,'Implementing Areas'!$H$11:$K$11)</c:f>
              <c:strCache>
                <c:ptCount val="7"/>
                <c:pt idx="0">
                  <c:v>Forested areas in mineral soil</c:v>
                </c:pt>
                <c:pt idx="1">
                  <c:v>Forested areas in peatland</c:v>
                </c:pt>
                <c:pt idx="2">
                  <c:v>Non-forested areas in peatland</c:v>
                </c:pt>
                <c:pt idx="3">
                  <c:v>Total mangrove</c:v>
                </c:pt>
                <c:pt idx="4">
                  <c:v>Total primary forest</c:v>
                </c:pt>
                <c:pt idx="5">
                  <c:v>primary forest in peatland</c:v>
                </c:pt>
                <c:pt idx="6">
                  <c:v>Non forested areas</c:v>
                </c:pt>
              </c:strCache>
            </c:strRef>
          </c:cat>
          <c:val>
            <c:numRef>
              <c:extLst>
                <c:ext xmlns:c15="http://schemas.microsoft.com/office/drawing/2012/chart" uri="{02D57815-91ED-43cb-92C2-25804820EDAC}">
                  <c15:fullRef>
                    <c15:sqref>'Implementing Areas'!$B$12:$K$12</c15:sqref>
                  </c15:fullRef>
                </c:ext>
              </c:extLst>
              <c:f>('Implementing Areas'!$B$12:$D$12,'Implementing Areas'!$H$12:$K$12)</c:f>
              <c:numCache>
                <c:formatCode>_-* #,##0_-;\-* #,##0_-;_-* "-"??_-;_-@_-</c:formatCode>
                <c:ptCount val="7"/>
                <c:pt idx="0">
                  <c:v>3415749.802378037</c:v>
                </c:pt>
                <c:pt idx="1">
                  <c:v>425883.81663184834</c:v>
                </c:pt>
                <c:pt idx="2">
                  <c:v>184669.90119201862</c:v>
                </c:pt>
                <c:pt idx="3">
                  <c:v>74449.186203798294</c:v>
                </c:pt>
                <c:pt idx="4">
                  <c:v>1884027.2733396452</c:v>
                </c:pt>
                <c:pt idx="5">
                  <c:v>0</c:v>
                </c:pt>
                <c:pt idx="6">
                  <c:v>176986.02579812385</c:v>
                </c:pt>
              </c:numCache>
            </c:numRef>
          </c:val>
          <c:extLst>
            <c:ext xmlns:c16="http://schemas.microsoft.com/office/drawing/2014/chart" uri="{C3380CC4-5D6E-409C-BE32-E72D297353CC}">
              <c16:uniqueId val="{00000005-1D88-4566-ABA2-C65441C847AD}"/>
            </c:ext>
          </c:extLst>
        </c:ser>
        <c:ser>
          <c:idx val="6"/>
          <c:order val="6"/>
          <c:spPr>
            <a:solidFill>
              <a:schemeClr val="accent1">
                <a:lumMod val="60000"/>
              </a:schemeClr>
            </a:solidFill>
            <a:ln>
              <a:noFill/>
            </a:ln>
            <a:effectLst/>
          </c:spPr>
          <c:invertIfNegative val="0"/>
          <c:cat>
            <c:strRef>
              <c:extLst>
                <c:ext xmlns:c15="http://schemas.microsoft.com/office/drawing/2012/chart" uri="{02D57815-91ED-43cb-92C2-25804820EDAC}">
                  <c15:fullRef>
                    <c15:sqref>'Implementing Areas'!$B$11:$K$11</c15:sqref>
                  </c15:fullRef>
                </c:ext>
              </c:extLst>
              <c:f>('Implementing Areas'!$B$11:$D$11,'Implementing Areas'!$H$11:$K$11)</c:f>
              <c:strCache>
                <c:ptCount val="7"/>
                <c:pt idx="0">
                  <c:v>Forested areas in mineral soil</c:v>
                </c:pt>
                <c:pt idx="1">
                  <c:v>Forested areas in peatland</c:v>
                </c:pt>
                <c:pt idx="2">
                  <c:v>Non-forested areas in peatland</c:v>
                </c:pt>
                <c:pt idx="3">
                  <c:v>Total mangrove</c:v>
                </c:pt>
                <c:pt idx="4">
                  <c:v>Total primary forest</c:v>
                </c:pt>
                <c:pt idx="5">
                  <c:v>primary forest in peatland</c:v>
                </c:pt>
                <c:pt idx="6">
                  <c:v>Non forested areas</c:v>
                </c:pt>
              </c:strCache>
            </c:strRef>
          </c:cat>
          <c:val>
            <c:numRef>
              <c:extLst>
                <c:ext xmlns:c15="http://schemas.microsoft.com/office/drawing/2012/chart" uri="{02D57815-91ED-43cb-92C2-25804820EDAC}">
                  <c15:fullRef>
                    <c15:sqref>'Implementing Areas'!$B$13:$K$13</c15:sqref>
                  </c15:fullRef>
                </c:ext>
              </c:extLst>
              <c:f>('Implementing Areas'!$B$13:$D$13,'Implementing Areas'!$H$13:$K$13)</c:f>
              <c:numCache>
                <c:formatCode>_-* #,##0_-;\-* #,##0_-;_-* "-"??_-;_-@_-</c:formatCode>
                <c:ptCount val="7"/>
                <c:pt idx="0">
                  <c:v>2390296.9689949872</c:v>
                </c:pt>
                <c:pt idx="1">
                  <c:v>338461.39979298762</c:v>
                </c:pt>
                <c:pt idx="2">
                  <c:v>88983.21990234447</c:v>
                </c:pt>
                <c:pt idx="3">
                  <c:v>68746.732275403454</c:v>
                </c:pt>
                <c:pt idx="4">
                  <c:v>1014268.8775385468</c:v>
                </c:pt>
                <c:pt idx="5">
                  <c:v>0</c:v>
                </c:pt>
                <c:pt idx="6">
                  <c:v>109002.37264342526</c:v>
                </c:pt>
              </c:numCache>
            </c:numRef>
          </c:val>
          <c:extLst>
            <c:ext xmlns:c16="http://schemas.microsoft.com/office/drawing/2014/chart" uri="{C3380CC4-5D6E-409C-BE32-E72D297353CC}">
              <c16:uniqueId val="{00000006-1D88-4566-ABA2-C65441C847AD}"/>
            </c:ext>
          </c:extLst>
        </c:ser>
        <c:ser>
          <c:idx val="7"/>
          <c:order val="7"/>
          <c:spPr>
            <a:solidFill>
              <a:schemeClr val="accent2">
                <a:lumMod val="60000"/>
              </a:schemeClr>
            </a:solidFill>
            <a:ln>
              <a:noFill/>
            </a:ln>
            <a:effectLst/>
          </c:spPr>
          <c:invertIfNegative val="0"/>
          <c:cat>
            <c:strRef>
              <c:extLst>
                <c:ext xmlns:c15="http://schemas.microsoft.com/office/drawing/2012/chart" uri="{02D57815-91ED-43cb-92C2-25804820EDAC}">
                  <c15:fullRef>
                    <c15:sqref>'Implementing Areas'!$B$11:$K$11</c15:sqref>
                  </c15:fullRef>
                </c:ext>
              </c:extLst>
              <c:f>('Implementing Areas'!$B$11:$D$11,'Implementing Areas'!$H$11:$K$11)</c:f>
              <c:strCache>
                <c:ptCount val="7"/>
                <c:pt idx="0">
                  <c:v>Forested areas in mineral soil</c:v>
                </c:pt>
                <c:pt idx="1">
                  <c:v>Forested areas in peatland</c:v>
                </c:pt>
                <c:pt idx="2">
                  <c:v>Non-forested areas in peatland</c:v>
                </c:pt>
                <c:pt idx="3">
                  <c:v>Total mangrove</c:v>
                </c:pt>
                <c:pt idx="4">
                  <c:v>Total primary forest</c:v>
                </c:pt>
                <c:pt idx="5">
                  <c:v>primary forest in peatland</c:v>
                </c:pt>
                <c:pt idx="6">
                  <c:v>Non forested areas</c:v>
                </c:pt>
              </c:strCache>
            </c:strRef>
          </c:cat>
          <c:val>
            <c:numRef>
              <c:extLst>
                <c:ext xmlns:c15="http://schemas.microsoft.com/office/drawing/2012/chart" uri="{02D57815-91ED-43cb-92C2-25804820EDAC}">
                  <c15:fullRef>
                    <c15:sqref>'Implementing Areas'!$B$14:$K$14</c15:sqref>
                  </c15:fullRef>
                </c:ext>
              </c:extLst>
              <c:f>('Implementing Areas'!$B$14:$D$14,'Implementing Areas'!$H$14:$K$14)</c:f>
              <c:numCache>
                <c:formatCode>_-* #,##0_-;\-* #,##0_-;_-* "-"??_-;_-@_-</c:formatCode>
                <c:ptCount val="7"/>
                <c:pt idx="0">
                  <c:v>104507.319784013</c:v>
                </c:pt>
                <c:pt idx="1">
                  <c:v>66252.598439551031</c:v>
                </c:pt>
                <c:pt idx="2">
                  <c:v>84888.819352019476</c:v>
                </c:pt>
                <c:pt idx="3">
                  <c:v>5439.2598501266448</c:v>
                </c:pt>
                <c:pt idx="4">
                  <c:v>1175.4542276620489</c:v>
                </c:pt>
                <c:pt idx="5">
                  <c:v>0</c:v>
                </c:pt>
                <c:pt idx="6">
                  <c:v>51839.361785545378</c:v>
                </c:pt>
              </c:numCache>
            </c:numRef>
          </c:val>
          <c:extLst>
            <c:ext xmlns:c16="http://schemas.microsoft.com/office/drawing/2014/chart" uri="{C3380CC4-5D6E-409C-BE32-E72D297353CC}">
              <c16:uniqueId val="{00000007-1D88-4566-ABA2-C65441C847AD}"/>
            </c:ext>
          </c:extLst>
        </c:ser>
        <c:ser>
          <c:idx val="8"/>
          <c:order val="8"/>
          <c:spPr>
            <a:solidFill>
              <a:schemeClr val="accent3">
                <a:lumMod val="60000"/>
              </a:schemeClr>
            </a:solidFill>
            <a:ln>
              <a:noFill/>
            </a:ln>
            <a:effectLst/>
          </c:spPr>
          <c:invertIfNegative val="0"/>
          <c:cat>
            <c:strRef>
              <c:extLst>
                <c:ext xmlns:c15="http://schemas.microsoft.com/office/drawing/2012/chart" uri="{02D57815-91ED-43cb-92C2-25804820EDAC}">
                  <c15:fullRef>
                    <c15:sqref>'Implementing Areas'!$B$11:$K$11</c15:sqref>
                  </c15:fullRef>
                </c:ext>
              </c:extLst>
              <c:f>('Implementing Areas'!$B$11:$D$11,'Implementing Areas'!$H$11:$K$11)</c:f>
              <c:strCache>
                <c:ptCount val="7"/>
                <c:pt idx="0">
                  <c:v>Forested areas in mineral soil</c:v>
                </c:pt>
                <c:pt idx="1">
                  <c:v>Forested areas in peatland</c:v>
                </c:pt>
                <c:pt idx="2">
                  <c:v>Non-forested areas in peatland</c:v>
                </c:pt>
                <c:pt idx="3">
                  <c:v>Total mangrove</c:v>
                </c:pt>
                <c:pt idx="4">
                  <c:v>Total primary forest</c:v>
                </c:pt>
                <c:pt idx="5">
                  <c:v>primary forest in peatland</c:v>
                </c:pt>
                <c:pt idx="6">
                  <c:v>Non forested areas</c:v>
                </c:pt>
              </c:strCache>
            </c:strRef>
          </c:cat>
          <c:val>
            <c:numRef>
              <c:extLst>
                <c:ext xmlns:c15="http://schemas.microsoft.com/office/drawing/2012/chart" uri="{02D57815-91ED-43cb-92C2-25804820EDAC}">
                  <c15:fullRef>
                    <c15:sqref>'Implementing Areas'!$B$15:$K$15</c15:sqref>
                  </c15:fullRef>
                </c:ext>
              </c:extLst>
              <c:f>('Implementing Areas'!$B$15:$D$15,'Implementing Areas'!$H$15:$K$15)</c:f>
              <c:numCache>
                <c:formatCode>_-* #,##0_-;\-* #,##0_-;_-* "-"??_-;_-@_-</c:formatCode>
                <c:ptCount val="7"/>
                <c:pt idx="0">
                  <c:v>164174.58646991456</c:v>
                </c:pt>
                <c:pt idx="1">
                  <c:v>37850.747921696384</c:v>
                </c:pt>
                <c:pt idx="2">
                  <c:v>12955.855852819732</c:v>
                </c:pt>
                <c:pt idx="3">
                  <c:v>35120.833438447691</c:v>
                </c:pt>
                <c:pt idx="4">
                  <c:v>23136.635470837446</c:v>
                </c:pt>
                <c:pt idx="5">
                  <c:v>0</c:v>
                </c:pt>
                <c:pt idx="6">
                  <c:v>18655.176436269474</c:v>
                </c:pt>
              </c:numCache>
            </c:numRef>
          </c:val>
          <c:extLst>
            <c:ext xmlns:c16="http://schemas.microsoft.com/office/drawing/2014/chart" uri="{C3380CC4-5D6E-409C-BE32-E72D297353CC}">
              <c16:uniqueId val="{00000008-1D88-4566-ABA2-C65441C847AD}"/>
            </c:ext>
          </c:extLst>
        </c:ser>
        <c:ser>
          <c:idx val="9"/>
          <c:order val="9"/>
          <c:spPr>
            <a:solidFill>
              <a:schemeClr val="accent4">
                <a:lumMod val="60000"/>
              </a:schemeClr>
            </a:solidFill>
            <a:ln>
              <a:noFill/>
            </a:ln>
            <a:effectLst/>
          </c:spPr>
          <c:invertIfNegative val="0"/>
          <c:cat>
            <c:strRef>
              <c:extLst>
                <c:ext xmlns:c15="http://schemas.microsoft.com/office/drawing/2012/chart" uri="{02D57815-91ED-43cb-92C2-25804820EDAC}">
                  <c15:fullRef>
                    <c15:sqref>'Implementing Areas'!$B$11:$K$11</c15:sqref>
                  </c15:fullRef>
                </c:ext>
              </c:extLst>
              <c:f>('Implementing Areas'!$B$11:$D$11,'Implementing Areas'!$H$11:$K$11)</c:f>
              <c:strCache>
                <c:ptCount val="7"/>
                <c:pt idx="0">
                  <c:v>Forested areas in mineral soil</c:v>
                </c:pt>
                <c:pt idx="1">
                  <c:v>Forested areas in peatland</c:v>
                </c:pt>
                <c:pt idx="2">
                  <c:v>Non-forested areas in peatland</c:v>
                </c:pt>
                <c:pt idx="3">
                  <c:v>Total mangrove</c:v>
                </c:pt>
                <c:pt idx="4">
                  <c:v>Total primary forest</c:v>
                </c:pt>
                <c:pt idx="5">
                  <c:v>primary forest in peatland</c:v>
                </c:pt>
                <c:pt idx="6">
                  <c:v>Non forested areas</c:v>
                </c:pt>
              </c:strCache>
            </c:strRef>
          </c:cat>
          <c:val>
            <c:numRef>
              <c:extLst>
                <c:ext xmlns:c15="http://schemas.microsoft.com/office/drawing/2012/chart" uri="{02D57815-91ED-43cb-92C2-25804820EDAC}">
                  <c15:fullRef>
                    <c15:sqref>'Implementing Areas'!$B$16:$K$16</c15:sqref>
                  </c15:fullRef>
                </c:ext>
              </c:extLst>
              <c:f>('Implementing Areas'!$B$16:$D$16,'Implementing Areas'!$H$16:$K$16)</c:f>
              <c:numCache>
                <c:formatCode>_-* #,##0_-;\-* #,##0_-;_-* "-"??_-;_-@_-</c:formatCode>
                <c:ptCount val="7"/>
                <c:pt idx="0">
                  <c:v>898862.15170186944</c:v>
                </c:pt>
                <c:pt idx="1">
                  <c:v>7301.166109060051</c:v>
                </c:pt>
                <c:pt idx="2">
                  <c:v>1428.1903505704404</c:v>
                </c:pt>
                <c:pt idx="3">
                  <c:v>0</c:v>
                </c:pt>
                <c:pt idx="4">
                  <c:v>854449.35573962599</c:v>
                </c:pt>
                <c:pt idx="5">
                  <c:v>0</c:v>
                </c:pt>
                <c:pt idx="6">
                  <c:v>9274.7785862703749</c:v>
                </c:pt>
              </c:numCache>
            </c:numRef>
          </c:val>
          <c:extLst>
            <c:ext xmlns:c16="http://schemas.microsoft.com/office/drawing/2014/chart" uri="{C3380CC4-5D6E-409C-BE32-E72D297353CC}">
              <c16:uniqueId val="{00000009-1D88-4566-ABA2-C65441C847AD}"/>
            </c:ext>
          </c:extLst>
        </c:ser>
        <c:dLbls>
          <c:showLegendKey val="0"/>
          <c:showVal val="0"/>
          <c:showCatName val="0"/>
          <c:showSerName val="0"/>
          <c:showPercent val="0"/>
          <c:showBubbleSize val="0"/>
        </c:dLbls>
        <c:gapWidth val="219"/>
        <c:overlap val="100"/>
        <c:axId val="603500136"/>
        <c:axId val="603499776"/>
      </c:barChart>
      <c:catAx>
        <c:axId val="60350013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03499776"/>
        <c:crosses val="autoZero"/>
        <c:auto val="1"/>
        <c:lblAlgn val="ctr"/>
        <c:lblOffset val="100"/>
        <c:noMultiLvlLbl val="0"/>
      </c:catAx>
      <c:valAx>
        <c:axId val="603499776"/>
        <c:scaling>
          <c:orientation val="minMax"/>
        </c:scaling>
        <c:delete val="0"/>
        <c:axPos val="l"/>
        <c:majorGridlines>
          <c:spPr>
            <a:ln w="9525" cap="flat" cmpd="sng" algn="ctr">
              <a:solidFill>
                <a:schemeClr val="tx1">
                  <a:lumMod val="15000"/>
                  <a:lumOff val="85000"/>
                </a:schemeClr>
              </a:solidFill>
              <a:round/>
            </a:ln>
            <a:effectLst/>
          </c:spPr>
        </c:majorGridlines>
        <c:numFmt formatCode="_-* #,##0_-;\-* #,##0_-;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03500136"/>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stacked"/>
        <c:varyColors val="0"/>
        <c:ser>
          <c:idx val="0"/>
          <c:order val="0"/>
          <c:tx>
            <c:strRef>
              <c:f>'Implementing Areas'!$B$3</c:f>
              <c:strCache>
                <c:ptCount val="1"/>
                <c:pt idx="0">
                  <c:v>Forested areas in mineral soil</c:v>
                </c:pt>
              </c:strCache>
            </c:strRef>
          </c:tx>
          <c:spPr>
            <a:solidFill>
              <a:schemeClr val="accent1"/>
            </a:solidFill>
            <a:ln>
              <a:noFill/>
            </a:ln>
            <a:effectLst/>
          </c:spPr>
          <c:invertIfNegative val="0"/>
          <c:cat>
            <c:strRef>
              <c:f>'Implementing Areas'!$A$4:$A$8</c:f>
              <c:strCache>
                <c:ptCount val="5"/>
                <c:pt idx="0">
                  <c:v>Province</c:v>
                </c:pt>
                <c:pt idx="1">
                  <c:v>Priority Districts</c:v>
                </c:pt>
                <c:pt idx="2">
                  <c:v>Targeted FMUs</c:v>
                </c:pt>
                <c:pt idx="3">
                  <c:v>Private Sectors in targeted districts</c:v>
                </c:pt>
                <c:pt idx="4">
                  <c:v>CA in targeted districts</c:v>
                </c:pt>
              </c:strCache>
            </c:strRef>
          </c:cat>
          <c:val>
            <c:numRef>
              <c:f>'Implementing Areas'!$B$4:$B$8</c:f>
              <c:numCache>
                <c:formatCode>_-* #,##0_-;\-* #,##0_-;_-* "-"??_-;_-@_-</c:formatCode>
                <c:ptCount val="5"/>
                <c:pt idx="0">
                  <c:v>4750297.1178149972</c:v>
                </c:pt>
                <c:pt idx="1">
                  <c:v>3908771.83212659</c:v>
                </c:pt>
                <c:pt idx="2">
                  <c:v>2724213.9308187524</c:v>
                </c:pt>
                <c:pt idx="3">
                  <c:v>1197790.4102284014</c:v>
                </c:pt>
                <c:pt idx="4">
                  <c:v>923575.66080837301</c:v>
                </c:pt>
              </c:numCache>
            </c:numRef>
          </c:val>
          <c:extLst>
            <c:ext xmlns:c16="http://schemas.microsoft.com/office/drawing/2014/chart" uri="{C3380CC4-5D6E-409C-BE32-E72D297353CC}">
              <c16:uniqueId val="{00000000-DA72-4C3D-AB0E-91F580571899}"/>
            </c:ext>
          </c:extLst>
        </c:ser>
        <c:ser>
          <c:idx val="1"/>
          <c:order val="1"/>
          <c:tx>
            <c:strRef>
              <c:f>'Implementing Areas'!$C$3</c:f>
              <c:strCache>
                <c:ptCount val="1"/>
                <c:pt idx="0">
                  <c:v>Forested areas in peatland</c:v>
                </c:pt>
              </c:strCache>
            </c:strRef>
          </c:tx>
          <c:spPr>
            <a:solidFill>
              <a:schemeClr val="accent2"/>
            </a:solidFill>
            <a:ln>
              <a:noFill/>
            </a:ln>
            <a:effectLst/>
          </c:spPr>
          <c:invertIfNegative val="0"/>
          <c:cat>
            <c:strRef>
              <c:f>'Implementing Areas'!$A$4:$A$8</c:f>
              <c:strCache>
                <c:ptCount val="5"/>
                <c:pt idx="0">
                  <c:v>Province</c:v>
                </c:pt>
                <c:pt idx="1">
                  <c:v>Priority Districts</c:v>
                </c:pt>
                <c:pt idx="2">
                  <c:v>Targeted FMUs</c:v>
                </c:pt>
                <c:pt idx="3">
                  <c:v>Private Sectors in targeted districts</c:v>
                </c:pt>
                <c:pt idx="4">
                  <c:v>CA in targeted districts</c:v>
                </c:pt>
              </c:strCache>
            </c:strRef>
          </c:cat>
          <c:val>
            <c:numRef>
              <c:f>'Implementing Areas'!$C$4:$C$8</c:f>
              <c:numCache>
                <c:formatCode>_-* #,##0_-;\-* #,##0_-;_-* "-"??_-;_-@_-</c:formatCode>
                <c:ptCount val="5"/>
                <c:pt idx="0">
                  <c:v>771598.31285574764</c:v>
                </c:pt>
                <c:pt idx="1">
                  <c:v>604180.51494538214</c:v>
                </c:pt>
                <c:pt idx="2">
                  <c:v>411987.54683669296</c:v>
                </c:pt>
                <c:pt idx="3">
                  <c:v>221129.25805782125</c:v>
                </c:pt>
                <c:pt idx="4">
                  <c:v>11333.342667546605</c:v>
                </c:pt>
              </c:numCache>
            </c:numRef>
          </c:val>
          <c:extLst>
            <c:ext xmlns:c16="http://schemas.microsoft.com/office/drawing/2014/chart" uri="{C3380CC4-5D6E-409C-BE32-E72D297353CC}">
              <c16:uniqueId val="{00000001-DA72-4C3D-AB0E-91F580571899}"/>
            </c:ext>
          </c:extLst>
        </c:ser>
        <c:ser>
          <c:idx val="2"/>
          <c:order val="2"/>
          <c:tx>
            <c:strRef>
              <c:f>'Implementing Areas'!$D$3</c:f>
              <c:strCache>
                <c:ptCount val="1"/>
                <c:pt idx="0">
                  <c:v>Non-forested areas in peatland</c:v>
                </c:pt>
              </c:strCache>
            </c:strRef>
          </c:tx>
          <c:spPr>
            <a:solidFill>
              <a:schemeClr val="accent3"/>
            </a:solidFill>
            <a:ln>
              <a:noFill/>
            </a:ln>
            <a:effectLst/>
          </c:spPr>
          <c:invertIfNegative val="0"/>
          <c:cat>
            <c:strRef>
              <c:f>'Implementing Areas'!$A$4:$A$8</c:f>
              <c:strCache>
                <c:ptCount val="5"/>
                <c:pt idx="0">
                  <c:v>Province</c:v>
                </c:pt>
                <c:pt idx="1">
                  <c:v>Priority Districts</c:v>
                </c:pt>
                <c:pt idx="2">
                  <c:v>Targeted FMUs</c:v>
                </c:pt>
                <c:pt idx="3">
                  <c:v>Private Sectors in targeted districts</c:v>
                </c:pt>
                <c:pt idx="4">
                  <c:v>CA in targeted districts</c:v>
                </c:pt>
              </c:strCache>
            </c:strRef>
          </c:cat>
          <c:val>
            <c:numRef>
              <c:f>'Implementing Areas'!$D$4:$D$8</c:f>
              <c:numCache>
                <c:formatCode>_-* #,##0_-;\-* #,##0_-;_-* "-"??_-;_-@_-</c:formatCode>
                <c:ptCount val="5"/>
                <c:pt idx="0">
                  <c:v>776716.74089079746</c:v>
                </c:pt>
                <c:pt idx="1">
                  <c:v>583118.00610752124</c:v>
                </c:pt>
                <c:pt idx="2">
                  <c:v>130273.27653743853</c:v>
                </c:pt>
                <c:pt idx="3">
                  <c:v>96077.938766733554</c:v>
                </c:pt>
                <c:pt idx="4">
                  <c:v>7762.5900737617685</c:v>
                </c:pt>
              </c:numCache>
            </c:numRef>
          </c:val>
          <c:extLst>
            <c:ext xmlns:c16="http://schemas.microsoft.com/office/drawing/2014/chart" uri="{C3380CC4-5D6E-409C-BE32-E72D297353CC}">
              <c16:uniqueId val="{00000002-DA72-4C3D-AB0E-91F580571899}"/>
            </c:ext>
          </c:extLst>
        </c:ser>
        <c:ser>
          <c:idx val="3"/>
          <c:order val="3"/>
          <c:tx>
            <c:strRef>
              <c:f>'Implementing Areas'!$E$3</c:f>
              <c:strCache>
                <c:ptCount val="1"/>
                <c:pt idx="0">
                  <c:v>Total Forest</c:v>
                </c:pt>
              </c:strCache>
            </c:strRef>
          </c:tx>
          <c:spPr>
            <a:solidFill>
              <a:schemeClr val="accent4"/>
            </a:solidFill>
            <a:ln>
              <a:noFill/>
            </a:ln>
            <a:effectLst/>
          </c:spPr>
          <c:invertIfNegative val="0"/>
          <c:cat>
            <c:strRef>
              <c:f>'Implementing Areas'!$A$4:$A$8</c:f>
              <c:strCache>
                <c:ptCount val="5"/>
                <c:pt idx="0">
                  <c:v>Province</c:v>
                </c:pt>
                <c:pt idx="1">
                  <c:v>Priority Districts</c:v>
                </c:pt>
                <c:pt idx="2">
                  <c:v>Targeted FMUs</c:v>
                </c:pt>
                <c:pt idx="3">
                  <c:v>Private Sectors in targeted districts</c:v>
                </c:pt>
                <c:pt idx="4">
                  <c:v>CA in targeted districts</c:v>
                </c:pt>
              </c:strCache>
            </c:strRef>
          </c:cat>
          <c:val>
            <c:numRef>
              <c:f>'Implementing Areas'!$E$4:$E$8</c:f>
              <c:numCache>
                <c:formatCode>_-* #,##0_-;\-* #,##0_-;_-* "-"??_-;_-@_-</c:formatCode>
                <c:ptCount val="5"/>
                <c:pt idx="0">
                  <c:v>5521895.4306707447</c:v>
                </c:pt>
                <c:pt idx="1">
                  <c:v>4512952.3470719717</c:v>
                </c:pt>
                <c:pt idx="2">
                  <c:v>3136201.4776554452</c:v>
                </c:pt>
                <c:pt idx="3">
                  <c:v>1418919.6682862227</c:v>
                </c:pt>
                <c:pt idx="4">
                  <c:v>934909.0034759196</c:v>
                </c:pt>
              </c:numCache>
            </c:numRef>
          </c:val>
          <c:extLst>
            <c:ext xmlns:c16="http://schemas.microsoft.com/office/drawing/2014/chart" uri="{C3380CC4-5D6E-409C-BE32-E72D297353CC}">
              <c16:uniqueId val="{00000003-DA72-4C3D-AB0E-91F580571899}"/>
            </c:ext>
          </c:extLst>
        </c:ser>
        <c:ser>
          <c:idx val="4"/>
          <c:order val="4"/>
          <c:tx>
            <c:strRef>
              <c:f>'Implementing Areas'!$F$3</c:f>
              <c:strCache>
                <c:ptCount val="1"/>
                <c:pt idx="0">
                  <c:v>Total Peatland</c:v>
                </c:pt>
              </c:strCache>
            </c:strRef>
          </c:tx>
          <c:spPr>
            <a:solidFill>
              <a:schemeClr val="accent5"/>
            </a:solidFill>
            <a:ln>
              <a:noFill/>
            </a:ln>
            <a:effectLst/>
          </c:spPr>
          <c:invertIfNegative val="0"/>
          <c:cat>
            <c:strRef>
              <c:f>'Implementing Areas'!$A$4:$A$8</c:f>
              <c:strCache>
                <c:ptCount val="5"/>
                <c:pt idx="0">
                  <c:v>Province</c:v>
                </c:pt>
                <c:pt idx="1">
                  <c:v>Priority Districts</c:v>
                </c:pt>
                <c:pt idx="2">
                  <c:v>Targeted FMUs</c:v>
                </c:pt>
                <c:pt idx="3">
                  <c:v>Private Sectors in targeted districts</c:v>
                </c:pt>
                <c:pt idx="4">
                  <c:v>CA in targeted districts</c:v>
                </c:pt>
              </c:strCache>
            </c:strRef>
          </c:cat>
          <c:val>
            <c:numRef>
              <c:f>'Implementing Areas'!$F$4:$F$8</c:f>
              <c:numCache>
                <c:formatCode>_-* #,##0_-;\-* #,##0_-;_-* "-"??_-;_-@_-</c:formatCode>
                <c:ptCount val="5"/>
                <c:pt idx="0">
                  <c:v>1548315.0537465452</c:v>
                </c:pt>
                <c:pt idx="1">
                  <c:v>1187298.5210529035</c:v>
                </c:pt>
                <c:pt idx="2">
                  <c:v>542260.82337413146</c:v>
                </c:pt>
                <c:pt idx="3">
                  <c:v>317207.19682455482</c:v>
                </c:pt>
                <c:pt idx="4">
                  <c:v>19095.932741308374</c:v>
                </c:pt>
              </c:numCache>
            </c:numRef>
          </c:val>
          <c:extLst>
            <c:ext xmlns:c16="http://schemas.microsoft.com/office/drawing/2014/chart" uri="{C3380CC4-5D6E-409C-BE32-E72D297353CC}">
              <c16:uniqueId val="{00000004-DA72-4C3D-AB0E-91F580571899}"/>
            </c:ext>
          </c:extLst>
        </c:ser>
        <c:ser>
          <c:idx val="5"/>
          <c:order val="5"/>
          <c:tx>
            <c:strRef>
              <c:f>'Implementing Areas'!$G$3</c:f>
              <c:strCache>
                <c:ptCount val="1"/>
                <c:pt idx="0">
                  <c:v>Total Intervention Area</c:v>
                </c:pt>
              </c:strCache>
            </c:strRef>
          </c:tx>
          <c:spPr>
            <a:solidFill>
              <a:schemeClr val="accent6"/>
            </a:solidFill>
            <a:ln>
              <a:noFill/>
            </a:ln>
            <a:effectLst/>
          </c:spPr>
          <c:invertIfNegative val="0"/>
          <c:cat>
            <c:strRef>
              <c:f>'Implementing Areas'!$A$4:$A$8</c:f>
              <c:strCache>
                <c:ptCount val="5"/>
                <c:pt idx="0">
                  <c:v>Province</c:v>
                </c:pt>
                <c:pt idx="1">
                  <c:v>Priority Districts</c:v>
                </c:pt>
                <c:pt idx="2">
                  <c:v>Targeted FMUs</c:v>
                </c:pt>
                <c:pt idx="3">
                  <c:v>Private Sectors in targeted districts</c:v>
                </c:pt>
                <c:pt idx="4">
                  <c:v>CA in targeted districts</c:v>
                </c:pt>
              </c:strCache>
            </c:strRef>
          </c:cat>
          <c:val>
            <c:numRef>
              <c:f>'Implementing Areas'!$G$4:$G$8</c:f>
              <c:numCache>
                <c:formatCode>_-* #,##0_-;\-* #,##0_-;_-* "-"??_-;_-@_-</c:formatCode>
                <c:ptCount val="5"/>
                <c:pt idx="0">
                  <c:v>6298612.171561542</c:v>
                </c:pt>
                <c:pt idx="1">
                  <c:v>5096070.353179493</c:v>
                </c:pt>
                <c:pt idx="2">
                  <c:v>3266474.7541928836</c:v>
                </c:pt>
                <c:pt idx="3">
                  <c:v>1514997.6070529562</c:v>
                </c:pt>
                <c:pt idx="4">
                  <c:v>942671.59354968136</c:v>
                </c:pt>
              </c:numCache>
            </c:numRef>
          </c:val>
          <c:extLst>
            <c:ext xmlns:c16="http://schemas.microsoft.com/office/drawing/2014/chart" uri="{C3380CC4-5D6E-409C-BE32-E72D297353CC}">
              <c16:uniqueId val="{00000005-DA72-4C3D-AB0E-91F580571899}"/>
            </c:ext>
          </c:extLst>
        </c:ser>
        <c:ser>
          <c:idx val="6"/>
          <c:order val="6"/>
          <c:tx>
            <c:strRef>
              <c:f>'Implementing Areas'!$H$3</c:f>
              <c:strCache>
                <c:ptCount val="1"/>
                <c:pt idx="0">
                  <c:v>Total mangrove</c:v>
                </c:pt>
              </c:strCache>
            </c:strRef>
          </c:tx>
          <c:spPr>
            <a:solidFill>
              <a:schemeClr val="accent1">
                <a:lumMod val="60000"/>
              </a:schemeClr>
            </a:solidFill>
            <a:ln>
              <a:noFill/>
            </a:ln>
            <a:effectLst/>
          </c:spPr>
          <c:invertIfNegative val="0"/>
          <c:cat>
            <c:strRef>
              <c:f>'Implementing Areas'!$A$4:$A$8</c:f>
              <c:strCache>
                <c:ptCount val="5"/>
                <c:pt idx="0">
                  <c:v>Province</c:v>
                </c:pt>
                <c:pt idx="1">
                  <c:v>Priority Districts</c:v>
                </c:pt>
                <c:pt idx="2">
                  <c:v>Targeted FMUs</c:v>
                </c:pt>
                <c:pt idx="3">
                  <c:v>Private Sectors in targeted districts</c:v>
                </c:pt>
                <c:pt idx="4">
                  <c:v>CA in targeted districts</c:v>
                </c:pt>
              </c:strCache>
            </c:strRef>
          </c:cat>
          <c:val>
            <c:numRef>
              <c:f>'Implementing Areas'!$H$4:$H$8</c:f>
              <c:numCache>
                <c:formatCode>_-* #,##0_-;\-* #,##0_-;_-* "-"??_-;_-@_-</c:formatCode>
                <c:ptCount val="5"/>
                <c:pt idx="0">
                  <c:v>116396.26479939079</c:v>
                </c:pt>
                <c:pt idx="1">
                  <c:v>91598.239560756963</c:v>
                </c:pt>
                <c:pt idx="2">
                  <c:v>79583.434582006783</c:v>
                </c:pt>
                <c:pt idx="3">
                  <c:v>29254.93960226496</c:v>
                </c:pt>
                <c:pt idx="4">
                  <c:v>0</c:v>
                </c:pt>
              </c:numCache>
            </c:numRef>
          </c:val>
          <c:extLst>
            <c:ext xmlns:c16="http://schemas.microsoft.com/office/drawing/2014/chart" uri="{C3380CC4-5D6E-409C-BE32-E72D297353CC}">
              <c16:uniqueId val="{00000006-DA72-4C3D-AB0E-91F580571899}"/>
            </c:ext>
          </c:extLst>
        </c:ser>
        <c:ser>
          <c:idx val="7"/>
          <c:order val="7"/>
          <c:tx>
            <c:strRef>
              <c:f>'Implementing Areas'!$I$3</c:f>
              <c:strCache>
                <c:ptCount val="1"/>
                <c:pt idx="0">
                  <c:v>Total primary forest</c:v>
                </c:pt>
              </c:strCache>
            </c:strRef>
          </c:tx>
          <c:spPr>
            <a:solidFill>
              <a:schemeClr val="accent2">
                <a:lumMod val="60000"/>
              </a:schemeClr>
            </a:solidFill>
            <a:ln>
              <a:noFill/>
            </a:ln>
            <a:effectLst/>
          </c:spPr>
          <c:invertIfNegative val="0"/>
          <c:cat>
            <c:strRef>
              <c:f>'Implementing Areas'!$A$4:$A$8</c:f>
              <c:strCache>
                <c:ptCount val="5"/>
                <c:pt idx="0">
                  <c:v>Province</c:v>
                </c:pt>
                <c:pt idx="1">
                  <c:v>Priority Districts</c:v>
                </c:pt>
                <c:pt idx="2">
                  <c:v>Targeted FMUs</c:v>
                </c:pt>
                <c:pt idx="3">
                  <c:v>Private Sectors in targeted districts</c:v>
                </c:pt>
                <c:pt idx="4">
                  <c:v>CA in targeted districts</c:v>
                </c:pt>
              </c:strCache>
            </c:strRef>
          </c:cat>
          <c:val>
            <c:numRef>
              <c:f>'Implementing Areas'!$I$4:$I$8</c:f>
              <c:numCache>
                <c:formatCode>_-* #,##0_-;\-* #,##0_-;_-* "-"??_-;_-@_-</c:formatCode>
                <c:ptCount val="5"/>
                <c:pt idx="0">
                  <c:v>2208933.3853033721</c:v>
                </c:pt>
                <c:pt idx="1">
                  <c:v>1899830.0733844887</c:v>
                </c:pt>
                <c:pt idx="2">
                  <c:v>1027014.2931312862</c:v>
                </c:pt>
                <c:pt idx="3">
                  <c:v>173888.86389578076</c:v>
                </c:pt>
                <c:pt idx="4">
                  <c:v>856505.5391423296</c:v>
                </c:pt>
              </c:numCache>
            </c:numRef>
          </c:val>
          <c:extLst>
            <c:ext xmlns:c16="http://schemas.microsoft.com/office/drawing/2014/chart" uri="{C3380CC4-5D6E-409C-BE32-E72D297353CC}">
              <c16:uniqueId val="{00000007-DA72-4C3D-AB0E-91F580571899}"/>
            </c:ext>
          </c:extLst>
        </c:ser>
        <c:ser>
          <c:idx val="8"/>
          <c:order val="8"/>
          <c:tx>
            <c:strRef>
              <c:f>'Implementing Areas'!$J$3</c:f>
              <c:strCache>
                <c:ptCount val="1"/>
                <c:pt idx="0">
                  <c:v>primary forest in peatland</c:v>
                </c:pt>
              </c:strCache>
            </c:strRef>
          </c:tx>
          <c:spPr>
            <a:solidFill>
              <a:schemeClr val="accent3">
                <a:lumMod val="60000"/>
              </a:schemeClr>
            </a:solidFill>
            <a:ln>
              <a:noFill/>
            </a:ln>
            <a:effectLst/>
          </c:spPr>
          <c:invertIfNegative val="0"/>
          <c:cat>
            <c:strRef>
              <c:f>'Implementing Areas'!$A$4:$A$8</c:f>
              <c:strCache>
                <c:ptCount val="5"/>
                <c:pt idx="0">
                  <c:v>Province</c:v>
                </c:pt>
                <c:pt idx="1">
                  <c:v>Priority Districts</c:v>
                </c:pt>
                <c:pt idx="2">
                  <c:v>Targeted FMUs</c:v>
                </c:pt>
                <c:pt idx="3">
                  <c:v>Private Sectors in targeted districts</c:v>
                </c:pt>
                <c:pt idx="4">
                  <c:v>CA in targeted districts</c:v>
                </c:pt>
              </c:strCache>
            </c:strRef>
          </c:cat>
          <c:val>
            <c:numRef>
              <c:f>'Implementing Areas'!$J$4:$J$8</c:f>
              <c:numCache>
                <c:formatCode>_-* #,##0_-;\-* #,##0_-;_-* "-"??_-;_-@_-</c:formatCode>
                <c:ptCount val="5"/>
                <c:pt idx="1">
                  <c:v>0</c:v>
                </c:pt>
                <c:pt idx="2">
                  <c:v>0</c:v>
                </c:pt>
                <c:pt idx="3">
                  <c:v>0</c:v>
                </c:pt>
                <c:pt idx="4">
                  <c:v>0</c:v>
                </c:pt>
              </c:numCache>
            </c:numRef>
          </c:val>
          <c:extLst>
            <c:ext xmlns:c16="http://schemas.microsoft.com/office/drawing/2014/chart" uri="{C3380CC4-5D6E-409C-BE32-E72D297353CC}">
              <c16:uniqueId val="{00000008-DA72-4C3D-AB0E-91F580571899}"/>
            </c:ext>
          </c:extLst>
        </c:ser>
        <c:ser>
          <c:idx val="9"/>
          <c:order val="9"/>
          <c:tx>
            <c:strRef>
              <c:f>'Implementing Areas'!$K$3</c:f>
              <c:strCache>
                <c:ptCount val="1"/>
                <c:pt idx="0">
                  <c:v>Non forested areas</c:v>
                </c:pt>
              </c:strCache>
            </c:strRef>
          </c:tx>
          <c:spPr>
            <a:solidFill>
              <a:schemeClr val="accent4">
                <a:lumMod val="60000"/>
              </a:schemeClr>
            </a:solidFill>
            <a:ln>
              <a:noFill/>
            </a:ln>
            <a:effectLst/>
          </c:spPr>
          <c:invertIfNegative val="0"/>
          <c:cat>
            <c:strRef>
              <c:f>'Implementing Areas'!$A$4:$A$8</c:f>
              <c:strCache>
                <c:ptCount val="5"/>
                <c:pt idx="0">
                  <c:v>Province</c:v>
                </c:pt>
                <c:pt idx="1">
                  <c:v>Priority Districts</c:v>
                </c:pt>
                <c:pt idx="2">
                  <c:v>Targeted FMUs</c:v>
                </c:pt>
                <c:pt idx="3">
                  <c:v>Private Sectors in targeted districts</c:v>
                </c:pt>
                <c:pt idx="4">
                  <c:v>CA in targeted districts</c:v>
                </c:pt>
              </c:strCache>
            </c:strRef>
          </c:cat>
          <c:val>
            <c:numRef>
              <c:f>'Implementing Areas'!$K$4:$K$8</c:f>
              <c:numCache>
                <c:formatCode>_-* #,##0_-;\-* #,##0_-;_-* "-"??_-;_-@_-</c:formatCode>
                <c:ptCount val="5"/>
                <c:pt idx="0">
                  <c:v>918132.60040928319</c:v>
                </c:pt>
                <c:pt idx="1">
                  <c:v>709261.81418783788</c:v>
                </c:pt>
                <c:pt idx="2">
                  <c:v>304548.11321313446</c:v>
                </c:pt>
                <c:pt idx="3">
                  <c:v>190013.66855473511</c:v>
                </c:pt>
              </c:numCache>
            </c:numRef>
          </c:val>
          <c:extLst>
            <c:ext xmlns:c16="http://schemas.microsoft.com/office/drawing/2014/chart" uri="{C3380CC4-5D6E-409C-BE32-E72D297353CC}">
              <c16:uniqueId val="{00000009-DA72-4C3D-AB0E-91F580571899}"/>
            </c:ext>
          </c:extLst>
        </c:ser>
        <c:dLbls>
          <c:showLegendKey val="0"/>
          <c:showVal val="0"/>
          <c:showCatName val="0"/>
          <c:showSerName val="0"/>
          <c:showPercent val="0"/>
          <c:showBubbleSize val="0"/>
        </c:dLbls>
        <c:gapWidth val="150"/>
        <c:overlap val="100"/>
        <c:axId val="1115165776"/>
        <c:axId val="1115167576"/>
      </c:barChart>
      <c:catAx>
        <c:axId val="111516577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115167576"/>
        <c:crosses val="autoZero"/>
        <c:auto val="1"/>
        <c:lblAlgn val="ctr"/>
        <c:lblOffset val="100"/>
        <c:noMultiLvlLbl val="0"/>
      </c:catAx>
      <c:valAx>
        <c:axId val="1115167576"/>
        <c:scaling>
          <c:orientation val="minMax"/>
        </c:scaling>
        <c:delete val="0"/>
        <c:axPos val="l"/>
        <c:majorGridlines>
          <c:spPr>
            <a:ln w="9525" cap="flat" cmpd="sng" algn="ctr">
              <a:solidFill>
                <a:schemeClr val="tx1">
                  <a:lumMod val="15000"/>
                  <a:lumOff val="85000"/>
                </a:schemeClr>
              </a:solidFill>
              <a:round/>
            </a:ln>
            <a:effectLst/>
          </c:spPr>
        </c:majorGridlines>
        <c:numFmt formatCode="_-* #,##0_-;\-* #,##0_-;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115165776"/>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7.1806900535031901E-2"/>
          <c:y val="2.7777777777777776E-2"/>
          <c:w val="0.91136910577643448"/>
          <c:h val="0.81396617089530476"/>
        </c:manualLayout>
      </c:layout>
      <c:barChart>
        <c:barDir val="col"/>
        <c:grouping val="clustered"/>
        <c:varyColors val="0"/>
        <c:ser>
          <c:idx val="0"/>
          <c:order val="0"/>
          <c:tx>
            <c:strRef>
              <c:f>'Implementing Areas'!$A$40</c:f>
              <c:strCache>
                <c:ptCount val="1"/>
                <c:pt idx="0">
                  <c:v>Province</c:v>
                </c:pt>
              </c:strCache>
            </c:strRef>
          </c:tx>
          <c:spPr>
            <a:solidFill>
              <a:schemeClr val="accent1"/>
            </a:solidFill>
            <a:ln>
              <a:noFill/>
            </a:ln>
            <a:effectLst/>
          </c:spPr>
          <c:invertIfNegative val="0"/>
          <c:cat>
            <c:strRef>
              <c:extLst>
                <c:ext xmlns:c15="http://schemas.microsoft.com/office/drawing/2012/chart" uri="{02D57815-91ED-43cb-92C2-25804820EDAC}">
                  <c15:fullRef>
                    <c15:sqref>'Implementing Areas'!$B$39:$K$39</c15:sqref>
                  </c15:fullRef>
                </c:ext>
              </c:extLst>
              <c:f>('Implementing Areas'!$B$39:$C$39,'Implementing Areas'!$G$39:$K$39)</c:f>
              <c:strCache>
                <c:ptCount val="7"/>
                <c:pt idx="0">
                  <c:v>Forested areas in mineral soil</c:v>
                </c:pt>
                <c:pt idx="1">
                  <c:v>Forested areas in peatland</c:v>
                </c:pt>
                <c:pt idx="2">
                  <c:v>Total Intervention Area</c:v>
                </c:pt>
                <c:pt idx="3">
                  <c:v>Total mangrove</c:v>
                </c:pt>
                <c:pt idx="4">
                  <c:v>Total primary forest</c:v>
                </c:pt>
                <c:pt idx="5">
                  <c:v>primary forest in peatland</c:v>
                </c:pt>
                <c:pt idx="6">
                  <c:v>Non forested areas</c:v>
                </c:pt>
              </c:strCache>
            </c:strRef>
          </c:cat>
          <c:val>
            <c:numRef>
              <c:extLst>
                <c:ext xmlns:c15="http://schemas.microsoft.com/office/drawing/2012/chart" uri="{02D57815-91ED-43cb-92C2-25804820EDAC}">
                  <c15:fullRef>
                    <c15:sqref>'Implementing Areas'!$B$40:$K$40</c15:sqref>
                  </c15:fullRef>
                </c:ext>
              </c:extLst>
              <c:f>('Implementing Areas'!$B$40:$C$40,'Implementing Areas'!$G$40:$K$40)</c:f>
              <c:numCache>
                <c:formatCode>_-* #,##0_-;\-* #,##0_-;_-* "-"??_-;_-@_-</c:formatCode>
                <c:ptCount val="7"/>
                <c:pt idx="0">
                  <c:v>4750297.1178149972</c:v>
                </c:pt>
                <c:pt idx="1">
                  <c:v>771598.31285574764</c:v>
                </c:pt>
                <c:pt idx="2">
                  <c:v>6440028.031080028</c:v>
                </c:pt>
                <c:pt idx="3">
                  <c:v>116396.26479939079</c:v>
                </c:pt>
                <c:pt idx="4">
                  <c:v>2208933.3853033721</c:v>
                </c:pt>
                <c:pt idx="6">
                  <c:v>918132.60040928319</c:v>
                </c:pt>
              </c:numCache>
            </c:numRef>
          </c:val>
          <c:extLst>
            <c:ext xmlns:c16="http://schemas.microsoft.com/office/drawing/2014/chart" uri="{C3380CC4-5D6E-409C-BE32-E72D297353CC}">
              <c16:uniqueId val="{00000000-5D3B-4237-AD8F-153770E69644}"/>
            </c:ext>
          </c:extLst>
        </c:ser>
        <c:ser>
          <c:idx val="1"/>
          <c:order val="1"/>
          <c:tx>
            <c:strRef>
              <c:f>'Implementing Areas'!$A$41</c:f>
              <c:strCache>
                <c:ptCount val="1"/>
                <c:pt idx="0">
                  <c:v>Priority Districts</c:v>
                </c:pt>
              </c:strCache>
            </c:strRef>
          </c:tx>
          <c:spPr>
            <a:solidFill>
              <a:schemeClr val="accent2"/>
            </a:solidFill>
            <a:ln>
              <a:noFill/>
            </a:ln>
            <a:effectLst/>
          </c:spPr>
          <c:invertIfNegative val="0"/>
          <c:cat>
            <c:strRef>
              <c:extLst>
                <c:ext xmlns:c15="http://schemas.microsoft.com/office/drawing/2012/chart" uri="{02D57815-91ED-43cb-92C2-25804820EDAC}">
                  <c15:fullRef>
                    <c15:sqref>'Implementing Areas'!$B$39:$K$39</c15:sqref>
                  </c15:fullRef>
                </c:ext>
              </c:extLst>
              <c:f>('Implementing Areas'!$B$39:$C$39,'Implementing Areas'!$G$39:$K$39)</c:f>
              <c:strCache>
                <c:ptCount val="7"/>
                <c:pt idx="0">
                  <c:v>Forested areas in mineral soil</c:v>
                </c:pt>
                <c:pt idx="1">
                  <c:v>Forested areas in peatland</c:v>
                </c:pt>
                <c:pt idx="2">
                  <c:v>Total Intervention Area</c:v>
                </c:pt>
                <c:pt idx="3">
                  <c:v>Total mangrove</c:v>
                </c:pt>
                <c:pt idx="4">
                  <c:v>Total primary forest</c:v>
                </c:pt>
                <c:pt idx="5">
                  <c:v>primary forest in peatland</c:v>
                </c:pt>
                <c:pt idx="6">
                  <c:v>Non forested areas</c:v>
                </c:pt>
              </c:strCache>
            </c:strRef>
          </c:cat>
          <c:val>
            <c:numRef>
              <c:extLst>
                <c:ext xmlns:c15="http://schemas.microsoft.com/office/drawing/2012/chart" uri="{02D57815-91ED-43cb-92C2-25804820EDAC}">
                  <c15:fullRef>
                    <c15:sqref>'Implementing Areas'!$B$41:$K$41</c15:sqref>
                  </c15:fullRef>
                </c:ext>
              </c:extLst>
              <c:f>('Implementing Areas'!$B$41:$C$41,'Implementing Areas'!$G$41:$K$41)</c:f>
              <c:numCache>
                <c:formatCode>_-* #,##0_-;\-* #,##0_-;_-* "-"??_-;_-@_-</c:formatCode>
                <c:ptCount val="7"/>
                <c:pt idx="0">
                  <c:v>3908771.83212659</c:v>
                </c:pt>
                <c:pt idx="1">
                  <c:v>604180.51494538214</c:v>
                </c:pt>
                <c:pt idx="2">
                  <c:v>5222214.1612598095</c:v>
                </c:pt>
                <c:pt idx="3">
                  <c:v>91598.239560756963</c:v>
                </c:pt>
                <c:pt idx="4">
                  <c:v>1899830.0733844887</c:v>
                </c:pt>
                <c:pt idx="5">
                  <c:v>0</c:v>
                </c:pt>
                <c:pt idx="6">
                  <c:v>709261.81418783788</c:v>
                </c:pt>
              </c:numCache>
            </c:numRef>
          </c:val>
          <c:extLst>
            <c:ext xmlns:c16="http://schemas.microsoft.com/office/drawing/2014/chart" uri="{C3380CC4-5D6E-409C-BE32-E72D297353CC}">
              <c16:uniqueId val="{00000001-5D3B-4237-AD8F-153770E69644}"/>
            </c:ext>
          </c:extLst>
        </c:ser>
        <c:ser>
          <c:idx val="2"/>
          <c:order val="2"/>
          <c:tx>
            <c:strRef>
              <c:f>'Implementing Areas'!$A$42</c:f>
              <c:strCache>
                <c:ptCount val="1"/>
                <c:pt idx="0">
                  <c:v>FMUs at priority districts</c:v>
                </c:pt>
              </c:strCache>
            </c:strRef>
          </c:tx>
          <c:spPr>
            <a:solidFill>
              <a:schemeClr val="accent3"/>
            </a:solidFill>
            <a:ln>
              <a:noFill/>
            </a:ln>
            <a:effectLst/>
          </c:spPr>
          <c:invertIfNegative val="0"/>
          <c:cat>
            <c:strRef>
              <c:extLst>
                <c:ext xmlns:c15="http://schemas.microsoft.com/office/drawing/2012/chart" uri="{02D57815-91ED-43cb-92C2-25804820EDAC}">
                  <c15:fullRef>
                    <c15:sqref>'Implementing Areas'!$B$39:$K$39</c15:sqref>
                  </c15:fullRef>
                </c:ext>
              </c:extLst>
              <c:f>('Implementing Areas'!$B$39:$C$39,'Implementing Areas'!$G$39:$K$39)</c:f>
              <c:strCache>
                <c:ptCount val="7"/>
                <c:pt idx="0">
                  <c:v>Forested areas in mineral soil</c:v>
                </c:pt>
                <c:pt idx="1">
                  <c:v>Forested areas in peatland</c:v>
                </c:pt>
                <c:pt idx="2">
                  <c:v>Total Intervention Area</c:v>
                </c:pt>
                <c:pt idx="3">
                  <c:v>Total mangrove</c:v>
                </c:pt>
                <c:pt idx="4">
                  <c:v>Total primary forest</c:v>
                </c:pt>
                <c:pt idx="5">
                  <c:v>primary forest in peatland</c:v>
                </c:pt>
                <c:pt idx="6">
                  <c:v>Non forested areas</c:v>
                </c:pt>
              </c:strCache>
            </c:strRef>
          </c:cat>
          <c:val>
            <c:numRef>
              <c:extLst>
                <c:ext xmlns:c15="http://schemas.microsoft.com/office/drawing/2012/chart" uri="{02D57815-91ED-43cb-92C2-25804820EDAC}">
                  <c15:fullRef>
                    <c15:sqref>'Implementing Areas'!$B$42:$K$42</c15:sqref>
                  </c15:fullRef>
                </c:ext>
              </c:extLst>
              <c:f>('Implementing Areas'!$B$42:$C$42,'Implementing Areas'!$G$42:$K$42)</c:f>
              <c:numCache>
                <c:formatCode>_-* #,##0_-;\-* #,##0_-;_-* "-"??_-;_-@_-</c:formatCode>
                <c:ptCount val="7"/>
                <c:pt idx="0">
                  <c:v>2724213.9308187524</c:v>
                </c:pt>
                <c:pt idx="1">
                  <c:v>411987.54683669296</c:v>
                </c:pt>
                <c:pt idx="2">
                  <c:v>3440749.5908685797</c:v>
                </c:pt>
                <c:pt idx="3">
                  <c:v>79583.434582006783</c:v>
                </c:pt>
                <c:pt idx="4">
                  <c:v>1027014.2931312862</c:v>
                </c:pt>
                <c:pt idx="5">
                  <c:v>0</c:v>
                </c:pt>
                <c:pt idx="6">
                  <c:v>304548.11321313446</c:v>
                </c:pt>
              </c:numCache>
            </c:numRef>
          </c:val>
          <c:extLst>
            <c:ext xmlns:c16="http://schemas.microsoft.com/office/drawing/2014/chart" uri="{C3380CC4-5D6E-409C-BE32-E72D297353CC}">
              <c16:uniqueId val="{00000002-5D3B-4237-AD8F-153770E69644}"/>
            </c:ext>
          </c:extLst>
        </c:ser>
        <c:ser>
          <c:idx val="3"/>
          <c:order val="3"/>
          <c:tx>
            <c:strRef>
              <c:f>'Implementing Areas'!$A$43</c:f>
              <c:strCache>
                <c:ptCount val="1"/>
                <c:pt idx="0">
                  <c:v>Private sectors in priority districts</c:v>
                </c:pt>
              </c:strCache>
            </c:strRef>
          </c:tx>
          <c:spPr>
            <a:solidFill>
              <a:schemeClr val="accent4"/>
            </a:solidFill>
            <a:ln>
              <a:noFill/>
            </a:ln>
            <a:effectLst/>
          </c:spPr>
          <c:invertIfNegative val="0"/>
          <c:cat>
            <c:strRef>
              <c:extLst>
                <c:ext xmlns:c15="http://schemas.microsoft.com/office/drawing/2012/chart" uri="{02D57815-91ED-43cb-92C2-25804820EDAC}">
                  <c15:fullRef>
                    <c15:sqref>'Implementing Areas'!$B$39:$K$39</c15:sqref>
                  </c15:fullRef>
                </c:ext>
              </c:extLst>
              <c:f>('Implementing Areas'!$B$39:$C$39,'Implementing Areas'!$G$39:$K$39)</c:f>
              <c:strCache>
                <c:ptCount val="7"/>
                <c:pt idx="0">
                  <c:v>Forested areas in mineral soil</c:v>
                </c:pt>
                <c:pt idx="1">
                  <c:v>Forested areas in peatland</c:v>
                </c:pt>
                <c:pt idx="2">
                  <c:v>Total Intervention Area</c:v>
                </c:pt>
                <c:pt idx="3">
                  <c:v>Total mangrove</c:v>
                </c:pt>
                <c:pt idx="4">
                  <c:v>Total primary forest</c:v>
                </c:pt>
                <c:pt idx="5">
                  <c:v>primary forest in peatland</c:v>
                </c:pt>
                <c:pt idx="6">
                  <c:v>Non forested areas</c:v>
                </c:pt>
              </c:strCache>
            </c:strRef>
          </c:cat>
          <c:val>
            <c:numRef>
              <c:extLst>
                <c:ext xmlns:c15="http://schemas.microsoft.com/office/drawing/2012/chart" uri="{02D57815-91ED-43cb-92C2-25804820EDAC}">
                  <c15:fullRef>
                    <c15:sqref>'Implementing Areas'!$B$43:$K$43</c15:sqref>
                  </c15:fullRef>
                </c:ext>
              </c:extLst>
              <c:f>('Implementing Areas'!$B$43:$C$43,'Implementing Areas'!$G$43:$K$43)</c:f>
              <c:numCache>
                <c:formatCode>_-* #,##0_-;\-* #,##0_-;_-* "-"??_-;_-@_-</c:formatCode>
                <c:ptCount val="7"/>
                <c:pt idx="0">
                  <c:v>1197790.4102284014</c:v>
                </c:pt>
                <c:pt idx="1">
                  <c:v>221129.25805782125</c:v>
                </c:pt>
                <c:pt idx="2">
                  <c:v>1608933.3368409576</c:v>
                </c:pt>
                <c:pt idx="3">
                  <c:v>29254.93960226496</c:v>
                </c:pt>
                <c:pt idx="4">
                  <c:v>173888.86389578076</c:v>
                </c:pt>
                <c:pt idx="5">
                  <c:v>0</c:v>
                </c:pt>
                <c:pt idx="6">
                  <c:v>190013.66855473499</c:v>
                </c:pt>
              </c:numCache>
            </c:numRef>
          </c:val>
          <c:extLst>
            <c:ext xmlns:c16="http://schemas.microsoft.com/office/drawing/2014/chart" uri="{C3380CC4-5D6E-409C-BE32-E72D297353CC}">
              <c16:uniqueId val="{00000003-5D3B-4237-AD8F-153770E69644}"/>
            </c:ext>
          </c:extLst>
        </c:ser>
        <c:ser>
          <c:idx val="4"/>
          <c:order val="4"/>
          <c:tx>
            <c:strRef>
              <c:f>'Implementing Areas'!$A$44</c:f>
              <c:strCache>
                <c:ptCount val="1"/>
                <c:pt idx="0">
                  <c:v>CA in priority districts</c:v>
                </c:pt>
              </c:strCache>
            </c:strRef>
          </c:tx>
          <c:spPr>
            <a:solidFill>
              <a:schemeClr val="accent5"/>
            </a:solidFill>
            <a:ln>
              <a:noFill/>
            </a:ln>
            <a:effectLst/>
          </c:spPr>
          <c:invertIfNegative val="0"/>
          <c:cat>
            <c:strRef>
              <c:extLst>
                <c:ext xmlns:c15="http://schemas.microsoft.com/office/drawing/2012/chart" uri="{02D57815-91ED-43cb-92C2-25804820EDAC}">
                  <c15:fullRef>
                    <c15:sqref>'Implementing Areas'!$B$39:$K$39</c15:sqref>
                  </c15:fullRef>
                </c:ext>
              </c:extLst>
              <c:f>('Implementing Areas'!$B$39:$C$39,'Implementing Areas'!$G$39:$K$39)</c:f>
              <c:strCache>
                <c:ptCount val="7"/>
                <c:pt idx="0">
                  <c:v>Forested areas in mineral soil</c:v>
                </c:pt>
                <c:pt idx="1">
                  <c:v>Forested areas in peatland</c:v>
                </c:pt>
                <c:pt idx="2">
                  <c:v>Total Intervention Area</c:v>
                </c:pt>
                <c:pt idx="3">
                  <c:v>Total mangrove</c:v>
                </c:pt>
                <c:pt idx="4">
                  <c:v>Total primary forest</c:v>
                </c:pt>
                <c:pt idx="5">
                  <c:v>primary forest in peatland</c:v>
                </c:pt>
                <c:pt idx="6">
                  <c:v>Non forested areas</c:v>
                </c:pt>
              </c:strCache>
            </c:strRef>
          </c:cat>
          <c:val>
            <c:numRef>
              <c:extLst>
                <c:ext xmlns:c15="http://schemas.microsoft.com/office/drawing/2012/chart" uri="{02D57815-91ED-43cb-92C2-25804820EDAC}">
                  <c15:fullRef>
                    <c15:sqref>'Implementing Areas'!$B$44:$K$44</c15:sqref>
                  </c15:fullRef>
                </c:ext>
              </c:extLst>
              <c:f>('Implementing Areas'!$B$44:$C$44,'Implementing Areas'!$G$44:$K$44)</c:f>
              <c:numCache>
                <c:formatCode>_-* #,##0_-;\-* #,##0_-;_-* "-"??_-;_-@_-</c:formatCode>
                <c:ptCount val="7"/>
                <c:pt idx="0">
                  <c:v>923575.66080837301</c:v>
                </c:pt>
                <c:pt idx="1">
                  <c:v>11333.342667546605</c:v>
                </c:pt>
                <c:pt idx="2">
                  <c:v>944447.93208191474</c:v>
                </c:pt>
                <c:pt idx="3">
                  <c:v>0</c:v>
                </c:pt>
                <c:pt idx="4">
                  <c:v>856505.5391423296</c:v>
                </c:pt>
                <c:pt idx="5">
                  <c:v>0</c:v>
                </c:pt>
                <c:pt idx="6">
                  <c:v>9538.9286059951046</c:v>
                </c:pt>
              </c:numCache>
            </c:numRef>
          </c:val>
          <c:extLst>
            <c:ext xmlns:c16="http://schemas.microsoft.com/office/drawing/2014/chart" uri="{C3380CC4-5D6E-409C-BE32-E72D297353CC}">
              <c16:uniqueId val="{00000004-5D3B-4237-AD8F-153770E69644}"/>
            </c:ext>
          </c:extLst>
        </c:ser>
        <c:ser>
          <c:idx val="5"/>
          <c:order val="5"/>
          <c:tx>
            <c:strRef>
              <c:f>'Implementing Areas'!$A$46</c:f>
              <c:strCache>
                <c:ptCount val="1"/>
                <c:pt idx="0">
                  <c:v>Priority Villages</c:v>
                </c:pt>
              </c:strCache>
            </c:strRef>
          </c:tx>
          <c:spPr>
            <a:solidFill>
              <a:schemeClr val="accent6"/>
            </a:solidFill>
            <a:ln>
              <a:noFill/>
            </a:ln>
            <a:effectLst/>
          </c:spPr>
          <c:invertIfNegative val="0"/>
          <c:cat>
            <c:strRef>
              <c:extLst>
                <c:ext xmlns:c15="http://schemas.microsoft.com/office/drawing/2012/chart" uri="{02D57815-91ED-43cb-92C2-25804820EDAC}">
                  <c15:fullRef>
                    <c15:sqref>'Implementing Areas'!$B$39:$K$39</c15:sqref>
                  </c15:fullRef>
                </c:ext>
              </c:extLst>
              <c:f>('Implementing Areas'!$B$39:$C$39,'Implementing Areas'!$G$39:$K$39)</c:f>
              <c:strCache>
                <c:ptCount val="7"/>
                <c:pt idx="0">
                  <c:v>Forested areas in mineral soil</c:v>
                </c:pt>
                <c:pt idx="1">
                  <c:v>Forested areas in peatland</c:v>
                </c:pt>
                <c:pt idx="2">
                  <c:v>Total Intervention Area</c:v>
                </c:pt>
                <c:pt idx="3">
                  <c:v>Total mangrove</c:v>
                </c:pt>
                <c:pt idx="4">
                  <c:v>Total primary forest</c:v>
                </c:pt>
                <c:pt idx="5">
                  <c:v>primary forest in peatland</c:v>
                </c:pt>
                <c:pt idx="6">
                  <c:v>Non forested areas</c:v>
                </c:pt>
              </c:strCache>
            </c:strRef>
          </c:cat>
          <c:val>
            <c:numRef>
              <c:extLst>
                <c:ext xmlns:c15="http://schemas.microsoft.com/office/drawing/2012/chart" uri="{02D57815-91ED-43cb-92C2-25804820EDAC}">
                  <c15:fullRef>
                    <c15:sqref>'Implementing Areas'!$B$46:$K$46</c15:sqref>
                  </c15:fullRef>
                </c:ext>
              </c:extLst>
              <c:f>('Implementing Areas'!$B$46:$C$46,'Implementing Areas'!$G$46:$K$46)</c:f>
              <c:numCache>
                <c:formatCode>_-* #,##0_-;\-* #,##0_-;_-* "-"??_-;_-@_-</c:formatCode>
                <c:ptCount val="7"/>
                <c:pt idx="0">
                  <c:v>3415749.802378037</c:v>
                </c:pt>
                <c:pt idx="1">
                  <c:v>425883.81663184834</c:v>
                </c:pt>
                <c:pt idx="2">
                  <c:v>4018619.6448080093</c:v>
                </c:pt>
                <c:pt idx="3">
                  <c:v>74449.186203798294</c:v>
                </c:pt>
                <c:pt idx="4">
                  <c:v>1884027.2733396452</c:v>
                </c:pt>
                <c:pt idx="5">
                  <c:v>0</c:v>
                </c:pt>
                <c:pt idx="6">
                  <c:v>176986.02579812385</c:v>
                </c:pt>
              </c:numCache>
            </c:numRef>
          </c:val>
          <c:extLst>
            <c:ext xmlns:c16="http://schemas.microsoft.com/office/drawing/2014/chart" uri="{C3380CC4-5D6E-409C-BE32-E72D297353CC}">
              <c16:uniqueId val="{00000005-5D3B-4237-AD8F-153770E69644}"/>
            </c:ext>
          </c:extLst>
        </c:ser>
        <c:ser>
          <c:idx val="6"/>
          <c:order val="6"/>
          <c:tx>
            <c:strRef>
              <c:f>'Implementing Areas'!$A$47</c:f>
              <c:strCache>
                <c:ptCount val="1"/>
                <c:pt idx="0">
                  <c:v>FMUs in priority villages</c:v>
                </c:pt>
              </c:strCache>
            </c:strRef>
          </c:tx>
          <c:spPr>
            <a:solidFill>
              <a:schemeClr val="accent1">
                <a:lumMod val="60000"/>
              </a:schemeClr>
            </a:solidFill>
            <a:ln>
              <a:noFill/>
            </a:ln>
            <a:effectLst/>
          </c:spPr>
          <c:invertIfNegative val="0"/>
          <c:cat>
            <c:strRef>
              <c:extLst>
                <c:ext xmlns:c15="http://schemas.microsoft.com/office/drawing/2012/chart" uri="{02D57815-91ED-43cb-92C2-25804820EDAC}">
                  <c15:fullRef>
                    <c15:sqref>'Implementing Areas'!$B$39:$K$39</c15:sqref>
                  </c15:fullRef>
                </c:ext>
              </c:extLst>
              <c:f>('Implementing Areas'!$B$39:$C$39,'Implementing Areas'!$G$39:$K$39)</c:f>
              <c:strCache>
                <c:ptCount val="7"/>
                <c:pt idx="0">
                  <c:v>Forested areas in mineral soil</c:v>
                </c:pt>
                <c:pt idx="1">
                  <c:v>Forested areas in peatland</c:v>
                </c:pt>
                <c:pt idx="2">
                  <c:v>Total Intervention Area</c:v>
                </c:pt>
                <c:pt idx="3">
                  <c:v>Total mangrove</c:v>
                </c:pt>
                <c:pt idx="4">
                  <c:v>Total primary forest</c:v>
                </c:pt>
                <c:pt idx="5">
                  <c:v>primary forest in peatland</c:v>
                </c:pt>
                <c:pt idx="6">
                  <c:v>Non forested areas</c:v>
                </c:pt>
              </c:strCache>
            </c:strRef>
          </c:cat>
          <c:val>
            <c:numRef>
              <c:extLst>
                <c:ext xmlns:c15="http://schemas.microsoft.com/office/drawing/2012/chart" uri="{02D57815-91ED-43cb-92C2-25804820EDAC}">
                  <c15:fullRef>
                    <c15:sqref>'Implementing Areas'!$B$47:$K$47</c15:sqref>
                  </c15:fullRef>
                </c:ext>
              </c:extLst>
              <c:f>('Implementing Areas'!$B$47:$C$47,'Implementing Areas'!$G$47:$K$47)</c:f>
              <c:numCache>
                <c:formatCode>_-* #,##0_-;\-* #,##0_-;_-* "-"??_-;_-@_-</c:formatCode>
                <c:ptCount val="7"/>
                <c:pt idx="0">
                  <c:v>2390296.9689949872</c:v>
                </c:pt>
                <c:pt idx="1">
                  <c:v>338461.39979298762</c:v>
                </c:pt>
                <c:pt idx="2">
                  <c:v>2837760.7414314002</c:v>
                </c:pt>
                <c:pt idx="3">
                  <c:v>68746.732275403454</c:v>
                </c:pt>
                <c:pt idx="4">
                  <c:v>1014268.8775385468</c:v>
                </c:pt>
                <c:pt idx="5">
                  <c:v>0</c:v>
                </c:pt>
                <c:pt idx="6">
                  <c:v>109002.37264342526</c:v>
                </c:pt>
              </c:numCache>
            </c:numRef>
          </c:val>
          <c:extLst>
            <c:ext xmlns:c16="http://schemas.microsoft.com/office/drawing/2014/chart" uri="{C3380CC4-5D6E-409C-BE32-E72D297353CC}">
              <c16:uniqueId val="{00000006-5D3B-4237-AD8F-153770E69644}"/>
            </c:ext>
          </c:extLst>
        </c:ser>
        <c:ser>
          <c:idx val="7"/>
          <c:order val="7"/>
          <c:tx>
            <c:strRef>
              <c:f>'Implementing Areas'!$A$48</c:f>
              <c:strCache>
                <c:ptCount val="1"/>
                <c:pt idx="0">
                  <c:v>APL in priority villages</c:v>
                </c:pt>
              </c:strCache>
            </c:strRef>
          </c:tx>
          <c:spPr>
            <a:solidFill>
              <a:schemeClr val="accent2">
                <a:lumMod val="60000"/>
              </a:schemeClr>
            </a:solidFill>
            <a:ln>
              <a:noFill/>
            </a:ln>
            <a:effectLst/>
          </c:spPr>
          <c:invertIfNegative val="0"/>
          <c:cat>
            <c:strRef>
              <c:extLst>
                <c:ext xmlns:c15="http://schemas.microsoft.com/office/drawing/2012/chart" uri="{02D57815-91ED-43cb-92C2-25804820EDAC}">
                  <c15:fullRef>
                    <c15:sqref>'Implementing Areas'!$B$39:$K$39</c15:sqref>
                  </c15:fullRef>
                </c:ext>
              </c:extLst>
              <c:f>('Implementing Areas'!$B$39:$C$39,'Implementing Areas'!$G$39:$K$39)</c:f>
              <c:strCache>
                <c:ptCount val="7"/>
                <c:pt idx="0">
                  <c:v>Forested areas in mineral soil</c:v>
                </c:pt>
                <c:pt idx="1">
                  <c:v>Forested areas in peatland</c:v>
                </c:pt>
                <c:pt idx="2">
                  <c:v>Total Intervention Area</c:v>
                </c:pt>
                <c:pt idx="3">
                  <c:v>Total mangrove</c:v>
                </c:pt>
                <c:pt idx="4">
                  <c:v>Total primary forest</c:v>
                </c:pt>
                <c:pt idx="5">
                  <c:v>primary forest in peatland</c:v>
                </c:pt>
                <c:pt idx="6">
                  <c:v>Non forested areas</c:v>
                </c:pt>
              </c:strCache>
            </c:strRef>
          </c:cat>
          <c:val>
            <c:numRef>
              <c:extLst>
                <c:ext xmlns:c15="http://schemas.microsoft.com/office/drawing/2012/chart" uri="{02D57815-91ED-43cb-92C2-25804820EDAC}">
                  <c15:fullRef>
                    <c15:sqref>'Implementing Areas'!$B$48:$K$48</c15:sqref>
                  </c15:fullRef>
                </c:ext>
              </c:extLst>
              <c:f>('Implementing Areas'!$B$48:$C$48,'Implementing Areas'!$G$48:$K$48)</c:f>
              <c:numCache>
                <c:formatCode>_-* #,##0_-;\-* #,##0_-;_-* "-"??_-;_-@_-</c:formatCode>
                <c:ptCount val="7"/>
                <c:pt idx="0">
                  <c:v>104507.319784013</c:v>
                </c:pt>
                <c:pt idx="1">
                  <c:v>66252.598439551031</c:v>
                </c:pt>
                <c:pt idx="2">
                  <c:v>392376.91871314833</c:v>
                </c:pt>
                <c:pt idx="3">
                  <c:v>5439.2598501266448</c:v>
                </c:pt>
                <c:pt idx="4">
                  <c:v>1175.4542276620489</c:v>
                </c:pt>
                <c:pt idx="5">
                  <c:v>0</c:v>
                </c:pt>
                <c:pt idx="6">
                  <c:v>51839.361785545378</c:v>
                </c:pt>
              </c:numCache>
            </c:numRef>
          </c:val>
          <c:extLst>
            <c:ext xmlns:c16="http://schemas.microsoft.com/office/drawing/2014/chart" uri="{C3380CC4-5D6E-409C-BE32-E72D297353CC}">
              <c16:uniqueId val="{00000007-5D3B-4237-AD8F-153770E69644}"/>
            </c:ext>
          </c:extLst>
        </c:ser>
        <c:ser>
          <c:idx val="8"/>
          <c:order val="8"/>
          <c:tx>
            <c:strRef>
              <c:f>'Implementing Areas'!$A$49</c:f>
              <c:strCache>
                <c:ptCount val="1"/>
                <c:pt idx="0">
                  <c:v>Social Forestry in priority villages</c:v>
                </c:pt>
              </c:strCache>
            </c:strRef>
          </c:tx>
          <c:spPr>
            <a:solidFill>
              <a:schemeClr val="accent3">
                <a:lumMod val="60000"/>
              </a:schemeClr>
            </a:solidFill>
            <a:ln>
              <a:noFill/>
            </a:ln>
            <a:effectLst/>
          </c:spPr>
          <c:invertIfNegative val="0"/>
          <c:cat>
            <c:strRef>
              <c:extLst>
                <c:ext xmlns:c15="http://schemas.microsoft.com/office/drawing/2012/chart" uri="{02D57815-91ED-43cb-92C2-25804820EDAC}">
                  <c15:fullRef>
                    <c15:sqref>'Implementing Areas'!$B$39:$K$39</c15:sqref>
                  </c15:fullRef>
                </c:ext>
              </c:extLst>
              <c:f>('Implementing Areas'!$B$39:$C$39,'Implementing Areas'!$G$39:$K$39)</c:f>
              <c:strCache>
                <c:ptCount val="7"/>
                <c:pt idx="0">
                  <c:v>Forested areas in mineral soil</c:v>
                </c:pt>
                <c:pt idx="1">
                  <c:v>Forested areas in peatland</c:v>
                </c:pt>
                <c:pt idx="2">
                  <c:v>Total Intervention Area</c:v>
                </c:pt>
                <c:pt idx="3">
                  <c:v>Total mangrove</c:v>
                </c:pt>
                <c:pt idx="4">
                  <c:v>Total primary forest</c:v>
                </c:pt>
                <c:pt idx="5">
                  <c:v>primary forest in peatland</c:v>
                </c:pt>
                <c:pt idx="6">
                  <c:v>Non forested areas</c:v>
                </c:pt>
              </c:strCache>
            </c:strRef>
          </c:cat>
          <c:val>
            <c:numRef>
              <c:extLst>
                <c:ext xmlns:c15="http://schemas.microsoft.com/office/drawing/2012/chart" uri="{02D57815-91ED-43cb-92C2-25804820EDAC}">
                  <c15:fullRef>
                    <c15:sqref>'Implementing Areas'!$B$49:$K$49</c15:sqref>
                  </c15:fullRef>
                </c:ext>
              </c:extLst>
              <c:f>('Implementing Areas'!$B$49:$C$49,'Implementing Areas'!$G$49:$K$49)</c:f>
              <c:numCache>
                <c:formatCode>_-* #,##0_-;\-* #,##0_-;_-* "-"??_-;_-@_-</c:formatCode>
                <c:ptCount val="7"/>
                <c:pt idx="0">
                  <c:v>164174.58646991456</c:v>
                </c:pt>
                <c:pt idx="1">
                  <c:v>37850.747921696384</c:v>
                </c:pt>
                <c:pt idx="2">
                  <c:v>246592.2225335199</c:v>
                </c:pt>
                <c:pt idx="3">
                  <c:v>35120.833438447691</c:v>
                </c:pt>
                <c:pt idx="4">
                  <c:v>23136.635470837446</c:v>
                </c:pt>
                <c:pt idx="5">
                  <c:v>0</c:v>
                </c:pt>
                <c:pt idx="6">
                  <c:v>18655.176436269474</c:v>
                </c:pt>
              </c:numCache>
            </c:numRef>
          </c:val>
          <c:extLst>
            <c:ext xmlns:c16="http://schemas.microsoft.com/office/drawing/2014/chart" uri="{C3380CC4-5D6E-409C-BE32-E72D297353CC}">
              <c16:uniqueId val="{00000008-5D3B-4237-AD8F-153770E69644}"/>
            </c:ext>
          </c:extLst>
        </c:ser>
        <c:ser>
          <c:idx val="9"/>
          <c:order val="9"/>
          <c:tx>
            <c:strRef>
              <c:f>'Implementing Areas'!$A$50</c:f>
              <c:strCache>
                <c:ptCount val="1"/>
                <c:pt idx="0">
                  <c:v>CA in priority villages</c:v>
                </c:pt>
              </c:strCache>
            </c:strRef>
          </c:tx>
          <c:spPr>
            <a:solidFill>
              <a:schemeClr val="accent4">
                <a:lumMod val="60000"/>
              </a:schemeClr>
            </a:solidFill>
            <a:ln>
              <a:noFill/>
            </a:ln>
            <a:effectLst/>
          </c:spPr>
          <c:invertIfNegative val="0"/>
          <c:cat>
            <c:strRef>
              <c:extLst>
                <c:ext xmlns:c15="http://schemas.microsoft.com/office/drawing/2012/chart" uri="{02D57815-91ED-43cb-92C2-25804820EDAC}">
                  <c15:fullRef>
                    <c15:sqref>'Implementing Areas'!$B$39:$K$39</c15:sqref>
                  </c15:fullRef>
                </c:ext>
              </c:extLst>
              <c:f>('Implementing Areas'!$B$39:$C$39,'Implementing Areas'!$G$39:$K$39)</c:f>
              <c:strCache>
                <c:ptCount val="7"/>
                <c:pt idx="0">
                  <c:v>Forested areas in mineral soil</c:v>
                </c:pt>
                <c:pt idx="1">
                  <c:v>Forested areas in peatland</c:v>
                </c:pt>
                <c:pt idx="2">
                  <c:v>Total Intervention Area</c:v>
                </c:pt>
                <c:pt idx="3">
                  <c:v>Total mangrove</c:v>
                </c:pt>
                <c:pt idx="4">
                  <c:v>Total primary forest</c:v>
                </c:pt>
                <c:pt idx="5">
                  <c:v>primary forest in peatland</c:v>
                </c:pt>
                <c:pt idx="6">
                  <c:v>Non forested areas</c:v>
                </c:pt>
              </c:strCache>
            </c:strRef>
          </c:cat>
          <c:val>
            <c:numRef>
              <c:extLst>
                <c:ext xmlns:c15="http://schemas.microsoft.com/office/drawing/2012/chart" uri="{02D57815-91ED-43cb-92C2-25804820EDAC}">
                  <c15:fullRef>
                    <c15:sqref>'Implementing Areas'!$B$50:$K$50</c15:sqref>
                  </c15:fullRef>
                </c:ext>
              </c:extLst>
              <c:f>('Implementing Areas'!$B$50:$C$50,'Implementing Areas'!$G$50:$K$50)</c:f>
              <c:numCache>
                <c:formatCode>_-* #,##0_-;\-* #,##0_-;_-* "-"??_-;_-@_-</c:formatCode>
                <c:ptCount val="7"/>
                <c:pt idx="0">
                  <c:v>898862.15170186944</c:v>
                </c:pt>
                <c:pt idx="1">
                  <c:v>7301.166109060051</c:v>
                </c:pt>
                <c:pt idx="2">
                  <c:v>918294.47709834087</c:v>
                </c:pt>
                <c:pt idx="3">
                  <c:v>0</c:v>
                </c:pt>
                <c:pt idx="4">
                  <c:v>854449.35573962599</c:v>
                </c:pt>
                <c:pt idx="5">
                  <c:v>0</c:v>
                </c:pt>
                <c:pt idx="6">
                  <c:v>9274.7785862703749</c:v>
                </c:pt>
              </c:numCache>
            </c:numRef>
          </c:val>
          <c:extLst>
            <c:ext xmlns:c16="http://schemas.microsoft.com/office/drawing/2014/chart" uri="{C3380CC4-5D6E-409C-BE32-E72D297353CC}">
              <c16:uniqueId val="{00000009-5D3B-4237-AD8F-153770E69644}"/>
            </c:ext>
          </c:extLst>
        </c:ser>
        <c:dLbls>
          <c:showLegendKey val="0"/>
          <c:showVal val="0"/>
          <c:showCatName val="0"/>
          <c:showSerName val="0"/>
          <c:showPercent val="0"/>
          <c:showBubbleSize val="0"/>
        </c:dLbls>
        <c:gapWidth val="150"/>
        <c:axId val="1127175672"/>
        <c:axId val="1596541232"/>
      </c:barChart>
      <c:catAx>
        <c:axId val="112717567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crossAx val="1596541232"/>
        <c:crosses val="autoZero"/>
        <c:auto val="1"/>
        <c:lblAlgn val="ctr"/>
        <c:lblOffset val="100"/>
        <c:noMultiLvlLbl val="0"/>
      </c:catAx>
      <c:valAx>
        <c:axId val="1596541232"/>
        <c:scaling>
          <c:orientation val="minMax"/>
        </c:scaling>
        <c:delete val="0"/>
        <c:axPos val="l"/>
        <c:numFmt formatCode="_-* #,##0_-;\-* #,##0_-;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127175672"/>
        <c:crosses val="autoZero"/>
        <c:crossBetween val="between"/>
        <c:majorUnit val="1000000"/>
        <c:dispUnits>
          <c:builtInUnit val="millions"/>
          <c:dispUnitsLbl>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GB"/>
                    <a:t>Millions hectares</a:t>
                  </a:r>
                </a:p>
              </c:rich>
            </c:tx>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dispUnitsLbl>
        </c:dispUnits>
      </c:valAx>
      <c:spPr>
        <a:noFill/>
        <a:ln>
          <a:noFill/>
        </a:ln>
        <a:effectLst/>
      </c:spPr>
    </c:plotArea>
    <c:legend>
      <c:legendPos val="r"/>
      <c:layout>
        <c:manualLayout>
          <c:xMode val="edge"/>
          <c:yMode val="edge"/>
          <c:x val="0.33067674002786979"/>
          <c:y val="3.9927821522309719E-2"/>
          <c:w val="0.66014653614202101"/>
          <c:h val="0.35995917177019537"/>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_rels/drawing2.xml.rels><?xml version="1.0" encoding="UTF-8" standalone="yes"?>
<Relationships xmlns="http://schemas.openxmlformats.org/package/2006/relationships"><Relationship Id="rId3" Type="http://schemas.openxmlformats.org/officeDocument/2006/relationships/image" Target="../media/image1.png"/><Relationship Id="rId2" Type="http://schemas.openxmlformats.org/officeDocument/2006/relationships/customXml" Target="../ink/ink1.xml"/><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3" Type="http://schemas.openxmlformats.org/officeDocument/2006/relationships/chart" Target="../charts/chart4.xml"/><Relationship Id="rId7" Type="http://schemas.openxmlformats.org/officeDocument/2006/relationships/chart" Target="../charts/chart8.xml"/><Relationship Id="rId2" Type="http://schemas.openxmlformats.org/officeDocument/2006/relationships/chart" Target="../charts/chart3.xml"/><Relationship Id="rId1" Type="http://schemas.openxmlformats.org/officeDocument/2006/relationships/chart" Target="../charts/chart2.xml"/><Relationship Id="rId6" Type="http://schemas.openxmlformats.org/officeDocument/2006/relationships/chart" Target="../charts/chart7.xml"/><Relationship Id="rId5" Type="http://schemas.openxmlformats.org/officeDocument/2006/relationships/chart" Target="../charts/chart6.xml"/><Relationship Id="rId4"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1804213</xdr:colOff>
      <xdr:row>7</xdr:row>
      <xdr:rowOff>180974</xdr:rowOff>
    </xdr:to>
    <xdr:pic>
      <xdr:nvPicPr>
        <xdr:cNvPr id="2" name="UNIQUE Logo">
          <a:extLst>
            <a:ext uri="{FF2B5EF4-FFF2-40B4-BE49-F238E27FC236}">
              <a16:creationId xmlns:a16="http://schemas.microsoft.com/office/drawing/2014/main" id="{C9DB7063-177E-474E-A797-FC422929304D}"/>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3461563" cy="1514474"/>
        </a:xfrm>
        <a:prstGeom prst="rect">
          <a:avLst/>
        </a:prstGeom>
        <a:solidFill>
          <a:schemeClr val="bg1"/>
        </a:solidFill>
      </xdr:spPr>
    </xdr:pic>
    <xdr:clientData/>
  </xdr:twoCellAnchor>
</xdr:wsDr>
</file>

<file path=xl/drawings/drawing2.xml><?xml version="1.0" encoding="utf-8"?>
<xdr:wsDr xmlns:xdr="http://schemas.openxmlformats.org/drawingml/2006/spreadsheetDrawing" xmlns:a="http://schemas.openxmlformats.org/drawingml/2006/main">
  <xdr:twoCellAnchor>
    <xdr:from>
      <xdr:col>15</xdr:col>
      <xdr:colOff>341357</xdr:colOff>
      <xdr:row>9</xdr:row>
      <xdr:rowOff>362404</xdr:rowOff>
    </xdr:from>
    <xdr:to>
      <xdr:col>21</xdr:col>
      <xdr:colOff>344532</xdr:colOff>
      <xdr:row>35</xdr:row>
      <xdr:rowOff>169272</xdr:rowOff>
    </xdr:to>
    <xdr:graphicFrame macro="">
      <xdr:nvGraphicFramePr>
        <xdr:cNvPr id="2" name="Chart 1">
          <a:extLst>
            <a:ext uri="{FF2B5EF4-FFF2-40B4-BE49-F238E27FC236}">
              <a16:creationId xmlns:a16="http://schemas.microsoft.com/office/drawing/2014/main" id="{287C5955-CDA4-4CAB-B49B-0396448B7D6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2</xdr:col>
      <xdr:colOff>700887</xdr:colOff>
      <xdr:row>20</xdr:row>
      <xdr:rowOff>124163</xdr:rowOff>
    </xdr:from>
    <xdr:to>
      <xdr:col>2</xdr:col>
      <xdr:colOff>707597</xdr:colOff>
      <xdr:row>20</xdr:row>
      <xdr:rowOff>130238</xdr:rowOff>
    </xdr:to>
    <mc:AlternateContent xmlns:mc="http://schemas.openxmlformats.org/markup-compatibility/2006" xmlns:xdr14="http://schemas.microsoft.com/office/excel/2010/spreadsheetDrawing">
      <mc:Choice Requires="xdr14">
        <xdr:contentPart xmlns:r="http://schemas.openxmlformats.org/officeDocument/2006/relationships" r:id="rId2">
          <xdr14:nvContentPartPr>
            <xdr14:cNvPr id="3" name="Ink 2">
              <a:extLst>
                <a:ext uri="{FF2B5EF4-FFF2-40B4-BE49-F238E27FC236}">
                  <a16:creationId xmlns:a16="http://schemas.microsoft.com/office/drawing/2014/main" id="{A67EEB90-B884-4C1C-B647-F38F03D8382D}"/>
                </a:ext>
              </a:extLst>
            </xdr14:cNvPr>
            <xdr14:cNvContentPartPr/>
          </xdr14:nvContentPartPr>
          <xdr14:nvPr macro=""/>
          <xdr14:xfrm>
            <a:off x="1314720" y="4463330"/>
            <a:ext cx="360" cy="360"/>
          </xdr14:xfrm>
        </xdr:contentPart>
      </mc:Choice>
      <mc:Fallback xmlns="">
        <xdr:pic>
          <xdr:nvPicPr>
            <xdr:cNvPr id="3" name="Ink 2">
              <a:extLst>
                <a:ext uri="{FF2B5EF4-FFF2-40B4-BE49-F238E27FC236}">
                  <a16:creationId xmlns:a16="http://schemas.microsoft.com/office/drawing/2014/main" id="{8E874D8E-BBD0-ED9C-70E7-ED7864CBFF8E}"/>
                </a:ext>
              </a:extLst>
            </xdr:cNvPr>
            <xdr:cNvPicPr/>
          </xdr:nvPicPr>
          <xdr:blipFill>
            <a:blip xmlns:r="http://schemas.openxmlformats.org/officeDocument/2006/relationships" r:embed="rId3"/>
            <a:stretch>
              <a:fillRect/>
            </a:stretch>
          </xdr:blipFill>
          <xdr:spPr>
            <a:xfrm>
              <a:off x="1305720" y="4454690"/>
              <a:ext cx="18000" cy="18000"/>
            </a:xfrm>
            <a:prstGeom prst="rect">
              <a:avLst/>
            </a:prstGeom>
          </xdr:spPr>
        </xdr:pic>
      </mc:Fallback>
    </mc:AlternateContent>
    <xdr:clientData/>
  </xdr:twoCellAnchor>
</xdr:wsDr>
</file>

<file path=xl/drawings/drawing3.xml><?xml version="1.0" encoding="utf-8"?>
<xdr:wsDr xmlns:xdr="http://schemas.openxmlformats.org/drawingml/2006/spreadsheetDrawing" xmlns:a="http://schemas.openxmlformats.org/drawingml/2006/main">
  <xdr:twoCellAnchor>
    <xdr:from>
      <xdr:col>0</xdr:col>
      <xdr:colOff>66675</xdr:colOff>
      <xdr:row>17</xdr:row>
      <xdr:rowOff>82550</xdr:rowOff>
    </xdr:from>
    <xdr:to>
      <xdr:col>2</xdr:col>
      <xdr:colOff>949325</xdr:colOff>
      <xdr:row>34</xdr:row>
      <xdr:rowOff>127000</xdr:rowOff>
    </xdr:to>
    <xdr:graphicFrame macro="">
      <xdr:nvGraphicFramePr>
        <xdr:cNvPr id="2" name="Chart 1">
          <a:extLst>
            <a:ext uri="{FF2B5EF4-FFF2-40B4-BE49-F238E27FC236}">
              <a16:creationId xmlns:a16="http://schemas.microsoft.com/office/drawing/2014/main" id="{26F957A8-E6D8-4E58-A0C2-83C02E22A56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484584</xdr:colOff>
      <xdr:row>17</xdr:row>
      <xdr:rowOff>101600</xdr:rowOff>
    </xdr:from>
    <xdr:to>
      <xdr:col>8</xdr:col>
      <xdr:colOff>436563</xdr:colOff>
      <xdr:row>34</xdr:row>
      <xdr:rowOff>146050</xdr:rowOff>
    </xdr:to>
    <xdr:graphicFrame macro="">
      <xdr:nvGraphicFramePr>
        <xdr:cNvPr id="3" name="Chart 2">
          <a:extLst>
            <a:ext uri="{FF2B5EF4-FFF2-40B4-BE49-F238E27FC236}">
              <a16:creationId xmlns:a16="http://schemas.microsoft.com/office/drawing/2014/main" id="{C814287E-33F4-4BE8-9447-A9F0E59DD23A}"/>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23</xdr:col>
      <xdr:colOff>378025</xdr:colOff>
      <xdr:row>1</xdr:row>
      <xdr:rowOff>106759</xdr:rowOff>
    </xdr:from>
    <xdr:to>
      <xdr:col>31</xdr:col>
      <xdr:colOff>108150</xdr:colOff>
      <xdr:row>11</xdr:row>
      <xdr:rowOff>71834</xdr:rowOff>
    </xdr:to>
    <xdr:graphicFrame macro="">
      <xdr:nvGraphicFramePr>
        <xdr:cNvPr id="4" name="Chart 3">
          <a:extLst>
            <a:ext uri="{FF2B5EF4-FFF2-40B4-BE49-F238E27FC236}">
              <a16:creationId xmlns:a16="http://schemas.microsoft.com/office/drawing/2014/main" id="{7904DB0A-125E-4CB0-9BDC-A2AC2ED35A0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23</xdr:col>
      <xdr:colOff>348257</xdr:colOff>
      <xdr:row>11</xdr:row>
      <xdr:rowOff>175260</xdr:rowOff>
    </xdr:from>
    <xdr:to>
      <xdr:col>31</xdr:col>
      <xdr:colOff>144780</xdr:colOff>
      <xdr:row>34</xdr:row>
      <xdr:rowOff>19844</xdr:rowOff>
    </xdr:to>
    <xdr:graphicFrame macro="">
      <xdr:nvGraphicFramePr>
        <xdr:cNvPr id="5" name="Chart 4">
          <a:extLst>
            <a:ext uri="{FF2B5EF4-FFF2-40B4-BE49-F238E27FC236}">
              <a16:creationId xmlns:a16="http://schemas.microsoft.com/office/drawing/2014/main" id="{832D429E-050F-411C-9FDC-C7C741FA2E2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8</xdr:col>
      <xdr:colOff>745133</xdr:colOff>
      <xdr:row>17</xdr:row>
      <xdr:rowOff>106760</xdr:rowOff>
    </xdr:from>
    <xdr:to>
      <xdr:col>14</xdr:col>
      <xdr:colOff>98226</xdr:colOff>
      <xdr:row>34</xdr:row>
      <xdr:rowOff>151210</xdr:rowOff>
    </xdr:to>
    <xdr:graphicFrame macro="">
      <xdr:nvGraphicFramePr>
        <xdr:cNvPr id="6" name="Chart 5">
          <a:extLst>
            <a:ext uri="{FF2B5EF4-FFF2-40B4-BE49-F238E27FC236}">
              <a16:creationId xmlns:a16="http://schemas.microsoft.com/office/drawing/2014/main" id="{2F17C274-7797-4A4C-82D9-4B0857105C4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14</xdr:col>
      <xdr:colOff>288726</xdr:colOff>
      <xdr:row>17</xdr:row>
      <xdr:rowOff>116681</xdr:rowOff>
    </xdr:from>
    <xdr:to>
      <xdr:col>21</xdr:col>
      <xdr:colOff>18851</xdr:colOff>
      <xdr:row>35</xdr:row>
      <xdr:rowOff>2381</xdr:rowOff>
    </xdr:to>
    <xdr:graphicFrame macro="">
      <xdr:nvGraphicFramePr>
        <xdr:cNvPr id="7" name="Chart 6">
          <a:extLst>
            <a:ext uri="{FF2B5EF4-FFF2-40B4-BE49-F238E27FC236}">
              <a16:creationId xmlns:a16="http://schemas.microsoft.com/office/drawing/2014/main" id="{3512D44B-EB21-41CF-9CA6-3A3B64D0A63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12</xdr:col>
      <xdr:colOff>231972</xdr:colOff>
      <xdr:row>35</xdr:row>
      <xdr:rowOff>3969</xdr:rowOff>
    </xdr:from>
    <xdr:to>
      <xdr:col>24</xdr:col>
      <xdr:colOff>193991</xdr:colOff>
      <xdr:row>53</xdr:row>
      <xdr:rowOff>57309</xdr:rowOff>
    </xdr:to>
    <xdr:graphicFrame macro="">
      <xdr:nvGraphicFramePr>
        <xdr:cNvPr id="8" name="Chart 7">
          <a:extLst>
            <a:ext uri="{FF2B5EF4-FFF2-40B4-BE49-F238E27FC236}">
              <a16:creationId xmlns:a16="http://schemas.microsoft.com/office/drawing/2014/main" id="{897D6265-50F6-4260-AEC4-56608687DA4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wsDr>
</file>

<file path=xl/externalLinks/_rels/externalLink1.xml.rels><?xml version="1.0" encoding="UTF-8" standalone="yes"?>
<Relationships xmlns="http://schemas.openxmlformats.org/package/2006/relationships"><Relationship Id="rId2" Type="http://schemas.openxmlformats.org/officeDocument/2006/relationships/externalLinkPath" Target="https://uniquelandusede149.sharepoint.com/sites/1_08ProjekteUL2023/Freigegebene%20Dokumente/23050%20KfW%20WALD%20Innovation%20Facility/03_Inhaltliche%20Bearbeitung/23050_KfW_WALD-InnoFac_Berechnungen_Kopie16.10_2.xlsx" TargetMode="External"/><Relationship Id="rId1" Type="http://schemas.openxmlformats.org/officeDocument/2006/relationships/externalLinkPath" Target="https://uniquelandusede149.sharepoint.com/sites/1_08ProjekteUL2023/Freigegebene%20Dokumente/23050%20KfW%20WALD%20Innovation%20Facility/03_Inhaltliche%20Bearbeitung/23050_KfW_WALD-InnoFac_Berechnungen_Kopie16.10_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Readme"/>
      <sheetName val="Parameter"/>
      <sheetName val="ch02_NbS-Potentials"/>
      <sheetName val="ch4.2_Timeline"/>
      <sheetName val="Ch5_Finance"/>
      <sheetName val="A1_Results Matrix"/>
      <sheetName val="A5_ClimateMainstr"/>
    </sheetNames>
    <sheetDataSet>
      <sheetData sheetId="0" refreshError="1"/>
      <sheetData sheetId="1"/>
      <sheetData sheetId="2" refreshError="1"/>
      <sheetData sheetId="3" refreshError="1"/>
      <sheetData sheetId="4" refreshError="1"/>
      <sheetData sheetId="5" refreshError="1"/>
      <sheetData sheetId="6" refreshError="1"/>
    </sheetDataSet>
  </externalBook>
</externalLink>
</file>

<file path=xl/ink/ink1.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channel name="F" type="integer" max="32767" units="dev"/>
        </inkml:traceFormat>
        <inkml:channelProperties>
          <inkml:channelProperty channel="X" name="resolution" value="1000" units="1/cm"/>
          <inkml:channelProperty channel="Y" name="resolution" value="1000" units="1/cm"/>
          <inkml:channelProperty channel="F" name="resolution" value="0" units="1/dev"/>
        </inkml:channelProperties>
      </inkml:inkSource>
      <inkml:timestamp xml:id="ts0" timeString="2023-10-24T05:26:00.790"/>
    </inkml:context>
    <inkml:brush xml:id="br0">
      <inkml:brushProperty name="width" value="0.05" units="cm"/>
      <inkml:brushProperty name="height" value="0.05" units="cm"/>
    </inkml:brush>
  </inkml:definitions>
  <inkml:trace contextRef="#ctx0" brushRef="#br0">0 1 18463</inkml:trace>
</inkml:ink>
</file>

<file path=xl/persons/person.xml><?xml version="1.0" encoding="utf-8"?>
<personList xmlns="http://schemas.microsoft.com/office/spreadsheetml/2018/threadedcomments" xmlns:x="http://schemas.openxmlformats.org/spreadsheetml/2006/main"/>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_rels/pivotCacheDefinition2.xml.rels><?xml version="1.0" encoding="UTF-8" standalone="yes"?>
<Relationships xmlns="http://schemas.openxmlformats.org/package/2006/relationships"><Relationship Id="rId1" Type="http://schemas.openxmlformats.org/officeDocument/2006/relationships/pivotCacheRecords" Target="pivotCacheRecords2.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Solichin Manuri" refreshedDate="45453.968182060184" createdVersion="8" refreshedVersion="8" minRefreshableVersion="3" recordCount="65" xr:uid="{46A0AD3B-2741-465F-8ADE-A691D89C3575}">
  <cacheSource type="worksheet">
    <worksheetSource ref="A4:BF69" sheet="Program Activity-Rev"/>
  </cacheSource>
  <cacheFields count="58">
    <cacheField name="Component" numFmtId="0">
      <sharedItems containsBlank="1" count="4">
        <s v="Component 1"/>
        <s v="Component 2"/>
        <s v="Component 3"/>
        <m u="1"/>
      </sharedItems>
    </cacheField>
    <cacheField name="Output Number" numFmtId="0">
      <sharedItems containsBlank="1" count="13">
        <m/>
        <s v="Output 1.1"/>
        <s v="Output 1 "/>
        <s v="Output 1.2"/>
        <s v="Output 1.3"/>
        <s v="Output 2.1"/>
        <s v="Output 3.1"/>
        <s v="Output 3.2"/>
        <s v="Output.3.1" u="1"/>
        <s v="Output 3" u="1"/>
        <s v="Output 1.1 " u="1"/>
        <s v="Output 1.2 " u="1"/>
        <s v="Output 1.3 " u="1"/>
      </sharedItems>
    </cacheField>
    <cacheField name="Activity Number" numFmtId="0">
      <sharedItems containsBlank="1" count="21">
        <m/>
        <s v="Activity 1.1.1"/>
        <s v="Activity 1.1"/>
        <s v="Activity 1.1.2"/>
        <s v="Activity 1.1.3"/>
        <s v="Activity 1.2.1"/>
        <s v="Activity 1.3.1"/>
        <s v="Activity 2.1.1"/>
        <s v="Activity 2.1.2"/>
        <s v="Activity 2.1.3"/>
        <s v="Activity 2.1.4"/>
        <s v="Activity 2.1.5"/>
        <s v="Activity 3.1.1"/>
        <s v="Activity 3.1.2"/>
        <s v="Activity 3.2.1"/>
        <s v="Activity 3.2" u="1"/>
        <s v="Output 1.1" u="1"/>
        <s v="Output 1.3" u="1"/>
        <s v="Output 2.1" u="1"/>
        <s v="Output 3.1" u="1"/>
        <s v="Output 3.2" u="1"/>
      </sharedItems>
    </cacheField>
    <cacheField name="Sub-activity number" numFmtId="0">
      <sharedItems containsBlank="1" count="47">
        <m/>
        <s v="Sub-activity 1.1.1.1"/>
        <s v="Sub-activity 1.1.1.2"/>
        <s v="Sub-activity 1.1.1.3"/>
        <s v="Sub-activity 1.1.4"/>
        <s v="Sub-activity 1.1.2.1"/>
        <s v="Sub-activity 1.1.2.2"/>
        <s v="Sub-activity 1.1.2.3"/>
        <s v="Sub-activity 1.1.2.4"/>
        <s v="Sub-activity 1.1.3.1"/>
        <s v="Sub-activity 1.1.3.2"/>
        <s v="Sub-activity 1.2.1.1"/>
        <s v="Sub-activity 1.2.1.2"/>
        <s v="Sub-activity 1.2.1.3"/>
        <s v="Sub-activity 1.2.1.4"/>
        <s v="sub-activity 1.2.1.5"/>
        <s v="Sub-activity 1.3.1.1"/>
        <s v="Sub-activity 1.3.1.2"/>
        <s v="Sub-activity  2.1.1.1"/>
        <s v="Sub-activity 2.1.2.1"/>
        <s v="Sub-activity 2.1.2.2"/>
        <s v="Sub-activity 2.1.2.3"/>
        <s v="Sub-activity 2.1.3.1"/>
        <s v="Sub-activity 2.1.4.1"/>
        <s v="Sub-Activity 2.1.5.1a"/>
        <s v="Sub-Activity 2.1.5.1b"/>
        <s v="Sub-Activity 2.1.5.2"/>
        <s v="Sub-Activity 2.1.5.3"/>
        <s v="Sub-Activity 2.1.5.4a"/>
        <s v="Sub-Activity 2.1.5.4b"/>
        <s v="Sub-activity 3.1.1.1"/>
        <s v="Sub-activity 3.1.1.2"/>
        <s v="Sub-activity 3.1.1.3"/>
        <s v="Sub-activity 3.1.1.4"/>
        <s v="Sub-activity 3.1.2.1"/>
        <s v="Sub-activity 3.1.2.2"/>
        <s v="Sub-activity 3.1.2.3"/>
        <s v="Sub-activity 3.2.1.1 "/>
        <s v="Sub-activity 3.2.1.2."/>
        <s v="Sub-activity 3.2.1.3. "/>
        <s v="Sub-activity 3.2.1.4 "/>
        <s v="Sub-activity 3.2.1.5. "/>
        <s v="Sub-activity 3.2.1.6."/>
        <s v="Sub-activity 3.2.1.7"/>
        <s v="Sub-activity 3.2.1.8"/>
        <s v="Sub-activity 3.2.5. " u="1"/>
        <s v="Sub-activity 3.2.6." u="1"/>
      </sharedItems>
    </cacheField>
    <cacheField name="Output/Activity/Sub-activity" numFmtId="0">
      <sharedItems containsBlank="1" count="63" longText="1">
        <m/>
        <s v="Strengthening institutional regulatory frameworks for sustainable and climate-resilient landscape management "/>
        <s v="Inclusion of climate change adaptation in mid-term, spatial, and other regional development plans "/>
        <s v="Development of adaptation policies at provincial level in line with national adaptation policies "/>
        <s v="Capacity building and implementation support related to climate change adaptation for government agencies at provincial, district and village level "/>
        <s v=" Development of tools for the implementation of adaptation measures "/>
        <s v=" Monitoring and reporting of adaptation measures "/>
        <s v="Strengthening mitigation actions through improved REDD+ implementation towards achievement of sub-national FOLU Net Sink 2030 targets "/>
        <s v=" Align the provincial REDD+ policiesy with the current national mitigation policies and regulations "/>
        <s v=" Inclusion of mitigation policies into provincial development plans "/>
        <s v="Support implementation of enabling conditions for mitigation activities "/>
        <s v="Monitoring and reporting of mitigation activities "/>
        <s v="Strengthening the Iinstitutional framework for coordination of mitigation and adaptation activities from relevant stakeholders and across sectors "/>
        <s v="Enhance institutional arrangements for Provincial Body on Climate Change, including a stakeholder consultation and amendment of the supporting legal framework "/>
        <s v=" Support activities of provincial body for climate change with capacity building measures, absorption of operational costs and outreach "/>
        <s v="Developed land use plans which consider climate change and identified HCV/HCS areas"/>
        <s v="Strengthening the regulatory framework and implementation of High Biodiversity and Carbon Areas (i.e. HCV, HCS) on non-state forests land. "/>
        <s v=" Identify areas and develop management plans for High Biodiversity and Carbon Areas within non-state forest land across West Kalimantan Province."/>
        <s v="Develop and strengthen regulations at provincial and district levels, to govern the protection and sustainable management of the High Biodiversity and Carbon Areas."/>
        <s v="Increase stakeholders’ capacities (i.e. companies, communities, provincial and districts governments) in implementing the management plan for High Biodiversity and Carbon Areas within non-state forest land. "/>
        <s v=" Support and monitor the management plan implementation for High Biodiversity and Carbon Areas. "/>
        <s v="Enabling Jurisdictional Approach (JA) certification for one regency as a replicable model to other regencies in West Kalimantan Province"/>
        <s v="Established and implemented dedicated grant mechanism provides adequate financing and meaningful engagement for IPLCs engaged in climate-resilient, low-emission forest and landscape management and further financing mechanisms have been assessed."/>
        <s v="Developing sustainable financial mechanisms to ensure meaningful engagement of IPLCs and support climate-resilient and low emission forest and landscape management in West Kalimantan "/>
        <s v="Implement an on-granting program focusing on Indigenous Peoples and Local Communities (IPLC) in West Kalimantan"/>
        <s v="Elaborate strategies, policies, and procedures for one or several financing mechanisms for climate resilient agriculture and forestry"/>
        <s v="Benefitting local communities produce deforestation-free agricultural and agroforestry commodities, accessing new markets for sustainable products, while an M&amp;E framework is established that measures environmental compliance and ensures the scalability as well as replicability of sustainable practices."/>
        <s v="Scaling up sustainable land and forest-based investment business model for West Kalimantanntan "/>
        <s v="Design of a sustainable land and forest-based business model."/>
        <s v="Implementing and up-scaling the adoption of proven approaches for reducing emissions and enhancing the sustainability and climate resilience of smallholders in key commodity supply chains (including agroforestry) "/>
        <s v=" Improved capacities to implement resilient and sustainable smallholder farming"/>
        <s v="Climate-resilient commodity and agroforestry scaled with improved market access."/>
        <s v="Digital systems for value chain traceability and certification, and improved access to services "/>
        <s v="Enhancing multi-stakeholder dialogue and platform for low-emission and climate-resilient agriculture and private sector investment "/>
        <s v="Establish a commodity-based platform at Regency level and engage with provincial, national and international MSPs to promote dialogue on sustainable forestry &amp; agriculture practices, investment into sustainable supply chains and sustainable sourcing practices"/>
        <s v="GRASS - Greening Agricultural Smallholder Supply Chains in Kapuas Hulu"/>
        <s v="Improving sustainable landscape management and smallholder palm oil market inclusion "/>
        <s v="Sustainable palm MSP’s delivering on their commitments in key forest rich landscapes"/>
        <s v="Investment and sourcing secured from partner companies in sustainable ag and forest restoration"/>
        <s v="Farmer empowerment and training to increase yields, climate resilience and gender inclusivity "/>
        <s v="Dialogue, brokering and de-risking of SH sourcing by international companies"/>
        <s v="Advice and insights on delivery of SH inclusive traceability with producer govts, companies and the EU "/>
        <s v="Purpose-driven convening and dialogue with producer and consumer governments"/>
        <s v=" Capacitated FMUs and private sector actors incentivized to engage in implementing climate informed protection and sustainable management of forest and peat ecosystems. "/>
        <s v="Supporting Forest Management Units (FMU) in the development and implementation of climate-informed forest management plans, including fire management "/>
        <s v="Development of climate-informed management plans of FMU units "/>
        <s v="Supporting FMU Organizations in 5 regencies to receive the status of &quot;Effective FMU Organization&quot; "/>
        <s v=" Capacity building for FMUs to implement climate-informed RPHJP and RPHJPd "/>
        <s v="Support FMU Oorganizations in 5 target regencies in implementing climate-informed RPHJP and RPHJPd through the development of information systems and enhanced forest management practices "/>
        <s v="Strengthened Systems for Community-based Conservation of Forests and Peatland Landscapes in Indonesia (CoPLI)"/>
        <s v="Strengthening the institutional framework and financing"/>
        <s v="Community-based management and conservation of peatland systems in targeted landscapes (implemented through"/>
        <s v="Knowledge exchange for forest and peatland conservation and management"/>
        <s v="Supported Local Communities able to receive land use rights and implement different social forestry schemes."/>
        <s v="Advancing social forestry implementation including building awareness of local communities of climate risks and risk-reduction practices "/>
        <s v="Develop and implement SF management plans for IPLC and support new SF permit proposal for IPLC. "/>
        <s v=" Develop and strengthen SF business unit (KUPS) to establish, improve, and escalate market, supply chain, and value-added communities' products, including the creation of KUPS models and capital supports. "/>
        <s v="Capacity building for SF permit holders "/>
        <s v="Forest restoration and rehabilitation of mangrove and peat forest ecosystems (10,000 ha)"/>
        <s v="Developing climate-resilient aquaculture infrastructure for coastal communities "/>
        <s v=" Accelerate and enable access to potential financial streams for climate change mitigation (e.g. REDD+) and adaptation strategy, including eco-tourism, conservation commitment from private sector (i.e. RaCP), public fund (i.e. state-budget, aspiration fund), and Result Based Payment (i.e. BPDLH); "/>
        <s v="Social Forestry Support Programme implemented by KfW"/>
        <s v="Channeling dedicated GCF fund (under this proposal) to IPLC groups to demonstrate institutional capabilities in climate mitigation &amp; improve livelihood for climate adaptation "/>
      </sharedItems>
    </cacheField>
    <cacheField name="Program Type" numFmtId="0">
      <sharedItems containsBlank="1"/>
    </cacheField>
    <cacheField name="Jurisdiction Level" numFmtId="0">
      <sharedItems containsBlank="1"/>
    </cacheField>
    <cacheField name="AD Prov-Deforestation Emission  - Biomass" numFmtId="0">
      <sharedItems containsString="0" containsBlank="1" containsNumber="1" containsInteger="1" minValue="66475" maxValue="66475"/>
    </cacheField>
    <cacheField name="AD Prov - Peat Decomposition Emission (in deforested area)" numFmtId="0">
      <sharedItems containsString="0" containsBlank="1" containsNumber="1" containsInteger="1" minValue="25443" maxValue="25443"/>
    </cacheField>
    <cacheField name="AD Prov-Peat fire emission" numFmtId="0">
      <sharedItems containsString="0" containsBlank="1" containsNumber="1" containsInteger="1" minValue="7258" maxValue="7258"/>
    </cacheField>
    <cacheField name="AD Prov-AGB+DOM fire emission (in deforested area)" numFmtId="0">
      <sharedItems containsString="0" containsBlank="1" containsNumber="1" containsInteger="1" minValue="500" maxValue="500"/>
    </cacheField>
    <cacheField name="AD Prov-Mangrove soil emissions (in deforested area)" numFmtId="0">
      <sharedItems containsString="0" containsBlank="1" containsNumber="1" containsInteger="1" minValue="215" maxValue="215"/>
    </cacheField>
    <cacheField name="AD Prov- Forest degradation emission - Biomass" numFmtId="0">
      <sharedItems containsString="0" containsBlank="1" containsNumber="1" containsInteger="1" minValue="3928" maxValue="3928"/>
    </cacheField>
    <cacheField name="AD Prov-Peat Decomposition Emission (in forest degraded area)" numFmtId="0">
      <sharedItems containsString="0" containsBlank="1" containsNumber="1" containsInteger="1" minValue="508" maxValue="508"/>
    </cacheField>
    <cacheField name="AGB+DOM fire emission (in forest degraded area)" numFmtId="0">
      <sharedItems containsString="0" containsBlank="1" containsNumber="1" containsInteger="1" minValue="5" maxValue="5"/>
    </cacheField>
    <cacheField name="Enhance of forest carbon stock (EFCS) - Biomass" numFmtId="0">
      <sharedItems containsString="0" containsBlank="1" containsNumber="1" containsInteger="1" minValue="1786" maxValue="1786"/>
    </cacheField>
    <cacheField name="Peat Decomposition Emission (in EFCS area)" numFmtId="0">
      <sharedItems containsString="0" containsBlank="1" containsNumber="1" containsInteger="1" minValue="528" maxValue="528"/>
    </cacheField>
    <cacheField name="PAD-Deforestation Emission  - Biomass" numFmtId="0">
      <sharedItems containsString="0" containsBlank="1" containsNumber="1" minValue="4.1278769031227909E-2" maxValue="1"/>
    </cacheField>
    <cacheField name="PAD-Peat Decomposition Emission (in deforested area)" numFmtId="0">
      <sharedItems containsString="0" containsBlank="1" containsNumber="1" minValue="4.9054990519105349E-2" maxValue="1"/>
    </cacheField>
    <cacheField name="PAD-Peat fire emission" numFmtId="0">
      <sharedItems containsString="0" containsBlank="1" containsNumber="1" minValue="4.9054990519105349E-2" maxValue="1"/>
    </cacheField>
    <cacheField name="PAD-AGB+DOM fire emission (in deforested area)" numFmtId="0">
      <sharedItems containsString="0" containsBlank="1" containsNumber="1" minValue="4.1278769031227909E-2" maxValue="1"/>
    </cacheField>
    <cacheField name="PAD-Mangrove soil emissions (in deforested area)" numFmtId="0">
      <sharedItems containsString="0" containsBlank="1" containsNumber="1" minValue="0.10322328641265012" maxValue="1"/>
    </cacheField>
    <cacheField name="PAD-Forest degradation emission - Biomass" numFmtId="0">
      <sharedItems containsString="0" containsBlank="1" containsNumber="1" minValue="7.3837632313357047E-3" maxValue="1"/>
    </cacheField>
    <cacheField name="PAD-Peat Decomposition Emission (in forest degraded area)" numFmtId="0">
      <sharedItems containsString="0" containsBlank="1" containsNumber="1" containsInteger="1" minValue="0" maxValue="0"/>
    </cacheField>
    <cacheField name="PAD-AGB+DOM fire emission (in forest degraded area)" numFmtId="0">
      <sharedItems containsString="0" containsBlank="1" containsNumber="1" minValue="7.3837632313357047E-3" maxValue="1"/>
    </cacheField>
    <cacheField name="PAD-Enhance of forest carbon stock (EFCS) - Biomass" numFmtId="0">
      <sharedItems containsString="0" containsBlank="1" containsNumber="1" minValue="2.0318608039790124E-2" maxValue="1"/>
    </cacheField>
    <cacheField name="PAD-Peat Decomposition Emission (in EFCS area)" numFmtId="0">
      <sharedItems containsString="0" containsBlank="1" containsNumber="1" minValue="1.6680284035027977E-2" maxValue="1"/>
    </cacheField>
    <cacheField name="EFF-Deforestation Emission  - Biomass" numFmtId="0">
      <sharedItems containsString="0" containsBlank="1" containsNumber="1" minValue="0" maxValue="3.5000000000000003E-2"/>
    </cacheField>
    <cacheField name="EFF-Peat Decomposition Emission (in deforested area)" numFmtId="0">
      <sharedItems containsString="0" containsBlank="1" containsNumber="1" minValue="0" maxValue="4.7744791691814316E-2"/>
    </cacheField>
    <cacheField name="EFF-Peat fire emission" numFmtId="0">
      <sharedItems containsString="0" containsBlank="1" containsNumber="1" minValue="0" maxValue="4.7744791691814316E-2"/>
    </cacheField>
    <cacheField name="EFF-AGB+DOM fire emission (in deforested area)" numFmtId="0">
      <sharedItems containsString="0" containsBlank="1" containsNumber="1" minValue="0" maxValue="3.5000000000000003E-2"/>
    </cacheField>
    <cacheField name="EFF-Mangrove soil emissions (in deforested area)" numFmtId="0">
      <sharedItems containsString="0" containsBlank="1" containsNumber="1" minValue="0" maxValue="0.1323764876448868"/>
    </cacheField>
    <cacheField name="EFF-Forest degradation emission - Biomass" numFmtId="0">
      <sharedItems containsString="0" containsBlank="1" containsNumber="1" minValue="0" maxValue="4.696773560979739E-2"/>
    </cacheField>
    <cacheField name="EFF-Peat Decomposition Emission (in forest degraded area)" numFmtId="0">
      <sharedItems containsString="0" containsBlank="1" containsNumber="1" containsInteger="1" minValue="0" maxValue="0"/>
    </cacheField>
    <cacheField name="EFF-AGB+DOM fire emission (in forest degraded area)" numFmtId="0">
      <sharedItems containsString="0" containsBlank="1" containsNumber="1" minValue="0" maxValue="4.696773560979739E-2"/>
    </cacheField>
    <cacheField name="EFF-Enhance of forest carbon stock (EFCS) - Biomass" numFmtId="0">
      <sharedItems containsString="0" containsBlank="1" containsNumber="1" minValue="0" maxValue="8.9787968161100462E-2"/>
    </cacheField>
    <cacheField name="EFF-Peat Decomposition Emission (in EFCS area)" numFmtId="0">
      <sharedItems containsString="0" containsBlank="1" containsNumber="1" minValue="0" maxValue="0.11672211447285202"/>
    </cacheField>
    <cacheField name="EAD-Deforestation Emission  - Biomass" numFmtId="0">
      <sharedItems containsString="0" containsBlank="1" containsNumber="1" minValue="0" maxValue="2326.625"/>
    </cacheField>
    <cacheField name="EAD-Peat Decomposition Emission (in deforested area)" numFmtId="0">
      <sharedItems containsString="0" containsBlank="1" containsNumber="1" minValue="0" maxValue="1214.7707350148316"/>
    </cacheField>
    <cacheField name="EAD-Peat fire emission" numFmtId="0">
      <sharedItems containsString="0" containsBlank="1" containsNumber="1" minValue="0" maxValue="346.5316980991883"/>
    </cacheField>
    <cacheField name="EAD-AGB+DOM fire emission (in deforested area)" numFmtId="0">
      <sharedItems containsString="0" containsBlank="1" containsNumber="1" minValue="0" maxValue="17.5"/>
    </cacheField>
    <cacheField name="EAD-Mangrove soil emissions (in deforested area)" numFmtId="0">
      <sharedItems containsString="0" containsBlank="1" containsNumber="1" minValue="0" maxValue="28.460944843650662"/>
    </cacheField>
    <cacheField name="EAD-Forest degradation emission - Biomass" numFmtId="0">
      <sharedItems containsString="0" containsBlank="1" containsNumber="1" minValue="0" maxValue="184.48926547528416"/>
    </cacheField>
    <cacheField name="EAD-Peat Decomposition Emission (in forest degraded area)" numFmtId="0">
      <sharedItems containsString="0" containsBlank="1" containsNumber="1" containsInteger="1" minValue="0" maxValue="0"/>
    </cacheField>
    <cacheField name="EAD-AGB+DOM fire emission (in forest degraded area)" numFmtId="0">
      <sharedItems containsString="0" containsBlank="1" containsNumber="1" minValue="0" maxValue="0.23483867804898695"/>
    </cacheField>
    <cacheField name="EAD-Enhance of forest carbon stock (EFCS) - Biomass" numFmtId="0">
      <sharedItems containsString="0" containsBlank="1" containsNumber="1" minValue="0" maxValue="160.36131113572543"/>
    </cacheField>
    <cacheField name="EAD-Peat Decomposition Emission (in EFCS area)" numFmtId="0">
      <sharedItems containsString="0" containsBlank="1" containsNumber="1" minValue="0" maxValue="61.629276441665866"/>
    </cacheField>
    <cacheField name="ER-Deforestation Emission  - Biomass" numFmtId="0">
      <sharedItems containsString="0" containsBlank="1" containsNumber="1" minValue="0" maxValue="865688.80999999994"/>
    </cacheField>
    <cacheField name="ER-Peat Decomposition Emission (in deforested area)" numFmtId="0">
      <sharedItems containsString="0" containsBlank="1" containsNumber="1" minValue="0" maxValue="45818.671305383141"/>
    </cacheField>
    <cacheField name="ER-Peat fire emission" numFmtId="0">
      <sharedItems containsString="0" containsBlank="1" containsNumber="1" minValue="0" maxValue="176389.21783248926"/>
    </cacheField>
    <cacheField name="ER-AGB+DOM fire emission (in deforested area)" numFmtId="0">
      <sharedItems containsString="0" containsBlank="1" containsNumber="1" minValue="0" maxValue="880.74"/>
    </cacheField>
    <cacheField name="ER-Mangrove soil emissions (in deforested area)" numFmtId="0">
      <sharedItems containsString="0" containsBlank="1" containsNumber="1" minValue="0" maxValue="1388.8941083701523"/>
    </cacheField>
    <cacheField name="ER-Forest degradation emission - Biomass" numFmtId="0">
      <sharedItems containsString="0" containsBlank="1" containsNumber="1" minValue="0" maxValue="38353.852898960547"/>
    </cacheField>
    <cacheField name="ER-Peat Decomposition Emission (in forest degraded area)" numFmtId="0">
      <sharedItems containsString="0" containsBlank="1" containsNumber="1" containsInteger="1" minValue="0" maxValue="0"/>
    </cacheField>
    <cacheField name="ER-AGB+DOM fire emission (in forest degraded area)" numFmtId="0">
      <sharedItems containsString="0" containsBlank="1" containsNumber="1" minValue="0" maxValue="9.7223212712280596"/>
    </cacheField>
    <cacheField name="ER-Enhance of forest carbon stock (EFCS) - Biomass" numFmtId="0">
      <sharedItems containsString="0" containsBlank="1" containsNumber="1" minValue="0" maxValue="57442.570934809315"/>
    </cacheField>
    <cacheField name="ER-Peat Decomposition Emission (in EFCS area)" numFmtId="0">
      <sharedItems containsString="0" containsBlank="1" containsNumber="1" minValue="0" maxValue="2576.057066415844"/>
    </cacheField>
    <cacheField name="Total Expected ER (tCO2)" numFmtId="0">
      <sharedItems containsString="0" containsBlank="1" containsNumber="1" minValue="0" maxValue="1081581.655"/>
    </cacheField>
  </cacheFields>
  <extLst>
    <ext xmlns:x14="http://schemas.microsoft.com/office/spreadsheetml/2009/9/main" uri="{725AE2AE-9491-48be-B2B4-4EB974FC3084}">
      <x14:pivotCacheDefinition/>
    </ext>
  </extLst>
</pivotCacheDefinition>
</file>

<file path=xl/pivotCache/pivotCacheDefinition2.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Solichin Manuri" refreshedDate="45454.012603703704" createdVersion="8" refreshedVersion="8" minRefreshableVersion="3" recordCount="63" xr:uid="{6A88858A-2144-462D-AED3-AA292B6D5CBB}">
  <cacheSource type="worksheet">
    <worksheetSource ref="A4:BF67" sheet="Program Activity-Rev"/>
  </cacheSource>
  <cacheFields count="58">
    <cacheField name="Component" numFmtId="0">
      <sharedItems count="3">
        <s v="Component 1"/>
        <s v="Component 2"/>
        <s v="Component 3"/>
      </sharedItems>
    </cacheField>
    <cacheField name="Output Number" numFmtId="0">
      <sharedItems containsBlank="1" count="8">
        <m/>
        <s v="Output 1.1"/>
        <s v="Output 1 "/>
        <s v="Output 1.2"/>
        <s v="Output 1.3"/>
        <s v="Output 2.1"/>
        <s v="Output 3.1"/>
        <s v="Output 3.2"/>
      </sharedItems>
    </cacheField>
    <cacheField name="Activity Number" numFmtId="0">
      <sharedItems containsBlank="1" count="15">
        <m/>
        <s v="Activity 1.1.1"/>
        <s v="Activity 1.1"/>
        <s v="Activity 1.1.2"/>
        <s v="Activity 1.1.3"/>
        <s v="Activity 1.2.1"/>
        <s v="Activity 1.3.1"/>
        <s v="Activity 2.1.1"/>
        <s v="Activity 2.1.2"/>
        <s v="Activity 2.1.3"/>
        <s v="Activity 2.1.4"/>
        <s v="Activity 2.1.5"/>
        <s v="Activity 3.1.1"/>
        <s v="Activity 3.1.2"/>
        <s v="Activity 3.2.1"/>
      </sharedItems>
    </cacheField>
    <cacheField name="Sub-activity number" numFmtId="0">
      <sharedItems containsBlank="1" count="43">
        <m/>
        <s v="Sub-activity 1.1.1.1"/>
        <s v="Sub-activity 1.1.1.2"/>
        <s v="Sub-activity 1.1.1.3"/>
        <s v="Sub-activity 1.1.4"/>
        <s v="Sub-activity 1.1.2.1"/>
        <s v="Sub-activity 1.1.2.2"/>
        <s v="Sub-activity 1.1.2.3"/>
        <s v="Sub-activity 1.1.2.4"/>
        <s v="Sub-activity 1.1.3.1"/>
        <s v="Sub-activity 1.1.3.2"/>
        <s v="Sub-activity 1.2.1.1"/>
        <s v="Sub-activity 1.2.1.2"/>
        <s v="Sub-activity 1.2.1.3"/>
        <s v="Sub-activity 1.2.1.4"/>
        <s v="sub-activity 1.2.1.5"/>
        <s v="Sub-activity 1.3.1.1"/>
        <s v="Sub-activity 1.3.1.2"/>
        <s v="Sub-activity  2.1.1.1"/>
        <s v="Sub-activity 2.1.2.1"/>
        <s v="Sub-activity 2.1.2.2"/>
        <s v="Sub-activity 2.1.2.3"/>
        <s v="Sub-activity 2.1.3.1"/>
        <s v="Sub-activity 2.1.4.1"/>
        <s v="Sub-Activity 2.1.5.1a"/>
        <s v="Sub-Activity 2.1.5.1b"/>
        <s v="Sub-Activity 2.1.5.2"/>
        <s v="Sub-Activity 2.1.5.3"/>
        <s v="Sub-Activity 2.1.5.4a"/>
        <s v="Sub-Activity 2.1.5.4b"/>
        <s v="Sub-activity 3.1.1.1"/>
        <s v="Sub-activity 3.1.1.2"/>
        <s v="Sub-activity 3.1.1.3"/>
        <s v="Sub-activity 3.1.1.4"/>
        <s v="Sub-activity 3.1.2.1"/>
        <s v="Sub-activity 3.1.2.2"/>
        <s v="Sub-activity 3.1.2.3"/>
        <s v="Sub-activity 3.2.1.1 "/>
        <s v="Sub-activity 3.2.1.2."/>
        <s v="Sub-activity 3.2.1.3. "/>
        <s v="Sub-activity 3.2.1.4 "/>
        <s v="Sub-activity 3.2.1.5. "/>
        <s v="Sub-activity 3.2.1.6."/>
      </sharedItems>
    </cacheField>
    <cacheField name="Output/Activity/Sub-activity" numFmtId="0">
      <sharedItems containsBlank="1" count="61" longText="1">
        <m/>
        <s v="Strengthening institutional regulatory frameworks for sustainable and climate-resilient landscape management "/>
        <s v="Inclusion of climate change adaptation in mid-term, spatial, and other regional development plans "/>
        <s v="Development of adaptation policies at provincial level in line with national adaptation policies "/>
        <s v="Capacity building and implementation support related to climate change adaptation for government agencies at provincial, district and village level "/>
        <s v=" Development of tools for the implementation of adaptation measures "/>
        <s v=" Monitoring and reporting of adaptation measures "/>
        <s v="Strengthening mitigation actions through improved REDD+ implementation towards achievement of sub-national FOLU Net Sink 2030 targets "/>
        <s v=" Align the provincial REDD+ policiesy with the current national mitigation policies and regulations "/>
        <s v=" Inclusion of mitigation policies into provincial development plans "/>
        <s v="Support implementation of enabling conditions for mitigation activities "/>
        <s v="Monitoring and reporting of mitigation activities "/>
        <s v="Strengthening the Iinstitutional framework for coordination of mitigation and adaptation activities from relevant stakeholders and across sectors "/>
        <s v="Enhance institutional arrangements for Provincial Body on Climate Change, including a stakeholder consultation and amendment of the supporting legal framework "/>
        <s v=" Support activities of provincial body for climate change with capacity building measures, absorption of operational costs and outreach "/>
        <s v="Developed land use plans which consider climate change and identified HCV/HCS areas"/>
        <s v="Strengthening the regulatory framework and implementation of High Biodiversity and Carbon Areas (i.e. HCV, HCS) on non-state forests land. "/>
        <s v=" Identify areas and develop management plans for High Biodiversity and Carbon Areas within non-state forest land across West Kalimantan Province."/>
        <s v="Develop and strengthen regulations at provincial and district levels, to govern the protection and sustainable management of the High Biodiversity and Carbon Areas."/>
        <s v="Increase stakeholders’ capacities (i.e. companies, communities, provincial and districts governments) in implementing the management plan for High Biodiversity and Carbon Areas within non-state forest land. "/>
        <s v=" Support and monitor the management plan implementation for High Biodiversity and Carbon Areas. "/>
        <s v="Enabling Jurisdictional Approach (JA) certification for one regency as a replicable model to other regencies in West Kalimantan Province"/>
        <s v="Established and implemented dedicated grant mechanism provides adequate financing and meaningful engagement for IPLCs engaged in climate-resilient, low-emission forest and landscape management and further financing mechanisms have been assessed."/>
        <s v="Developing sustainable financial mechanisms to ensure meaningful engagement of IPLCs and support climate-resilient and low emission forest and landscape management in West Kalimantan "/>
        <s v="Implement an on-granting program focusing on Indigenous Peoples and Local Communities (IPLC) in West Kalimantan"/>
        <s v="Elaborate strategies, policies, and procedures for one or several financing mechanisms for climate resilient agriculture and forestry"/>
        <s v="Benefitting local communities produce deforestation-free agricultural and agroforestry commodities, accessing new markets for sustainable products, while an M&amp;E framework is established that measures environmental compliance and ensures the scalability as well as replicability of sustainable practices."/>
        <s v="Scaling up sustainable land and forest-based investment business model for West Kalimantanntan "/>
        <s v="Design of a sustainable land and forest-based business model."/>
        <s v="Implementing and up-scaling the adoption of proven approaches for reducing emissions and enhancing the sustainability and climate resilience of smallholders in key commodity supply chains (including agroforestry) "/>
        <s v=" Improved capacities to implement resilient and sustainable smallholder farming"/>
        <s v="Climate-resilient commodity and agroforestry scaled with improved market access."/>
        <s v="Digital systems for value chain traceability and certification, and improved access to services "/>
        <s v="Enhancing multi-stakeholder dialogue and platform for low-emission and climate-resilient agriculture and private sector investment "/>
        <s v="Establish a commodity-based platform at Regency level and engage with provincial, national and international MSPs to promote dialogue on sustainable forestry &amp; agriculture practices, investment into sustainable supply chains and sustainable sourcing practices"/>
        <s v="GRASS - Greening Agricultural Smallholder Supply Chains in Kapuas Hulu"/>
        <s v="Improving sustainable landscape management and smallholder palm oil market inclusion "/>
        <s v="Sustainable palm MSP’s delivering on their commitments in key forest rich landscapes"/>
        <s v="Investment and sourcing secured from partner companies in sustainable ag and forest restoration"/>
        <s v="Farmer empowerment and training to increase yields, climate resilience and gender inclusivity "/>
        <s v="Dialogue, brokering and de-risking of SH sourcing by international companies"/>
        <s v="Advice and insights on delivery of SH inclusive traceability with producer govts, companies and the EU "/>
        <s v="Purpose-driven convening and dialogue with producer and consumer governments"/>
        <s v=" Capacitated FMUs and private sector actors incentivized to engage in implementing climate informed protection and sustainable management of forest and peat ecosystems. "/>
        <s v="Supporting Forest Management Units (FMU) in the development and implementation of climate-informed forest management plans, including fire management "/>
        <s v="Development of climate-informed management plans of FMU units "/>
        <s v="Supporting FMU Organizations in 5 regencies to receive the status of &quot;Effective FMU Organization&quot; "/>
        <s v=" Capacity building for FMUs to implement climate-informed RPHJP and RPHJPd "/>
        <s v="Support FMU Oorganizations in 5 target regencies in implementing climate-informed RPHJP and RPHJPd through the development of information systems and enhanced forest management practices "/>
        <s v="Strengthened Systems for Community-based Conservation of Forests and Peatland Landscapes in Indonesia (CoPLI)"/>
        <s v="Strengthening the institutional framework and financing"/>
        <s v="Community-based management and conservation of peatland systems in targeted landscapes (implemented through"/>
        <s v="Knowledge exchange for forest and peatland conservation and management"/>
        <s v="Supported Local Communities able to receive land use rights and implement different social forestry schemes."/>
        <s v="Advancing social forestry implementation including building awareness of local communities of climate risks and risk-reduction practices "/>
        <s v="Develop and implement SF management plans for IPLC and support new SF permit proposal for IPLC. "/>
        <s v=" Develop and strengthen SF business unit (KUPS) to establish, improve, and escalate market, supply chain, and value-added communities' products, including the creation of KUPS models and capital supports. "/>
        <s v="Capacity building for SF permit holders "/>
        <s v="Forest restoration and rehabilitation of mangrove and peat forest ecosystems (10,000 ha)"/>
        <s v="Developing climate-resilient aquaculture infrastructure for coastal communities "/>
        <s v=" Accelerate and enable access to potential financial streams for climate change mitigation (e.g. REDD+) and adaptation strategy, including eco-tourism, conservation commitment from private sector (i.e. RaCP), public fund (i.e. state-budget, aspiration fund), and Result Based Payment (i.e. BPDLH); "/>
      </sharedItems>
    </cacheField>
    <cacheField name="Program Type" numFmtId="0">
      <sharedItems containsBlank="1"/>
    </cacheField>
    <cacheField name="Jurisdiction Level" numFmtId="0">
      <sharedItems containsBlank="1"/>
    </cacheField>
    <cacheField name="AD Prov-Deforestation Emission  - Biomass" numFmtId="0">
      <sharedItems containsString="0" containsBlank="1" containsNumber="1" containsInteger="1" minValue="66475" maxValue="66475"/>
    </cacheField>
    <cacheField name="AD Prov - Peat Decomposition Emission (in deforested area)" numFmtId="0">
      <sharedItems containsString="0" containsBlank="1" containsNumber="1" containsInteger="1" minValue="25443" maxValue="25443"/>
    </cacheField>
    <cacheField name="AD Prov-Peat fire emission" numFmtId="0">
      <sharedItems containsString="0" containsBlank="1" containsNumber="1" containsInteger="1" minValue="7258" maxValue="7258"/>
    </cacheField>
    <cacheField name="AD Prov-AGB+DOM fire emission (in deforested area)" numFmtId="0">
      <sharedItems containsString="0" containsBlank="1" containsNumber="1" containsInteger="1" minValue="500" maxValue="500"/>
    </cacheField>
    <cacheField name="AD Prov-Mangrove soil emissions (in deforested area)" numFmtId="0">
      <sharedItems containsString="0" containsBlank="1" containsNumber="1" containsInteger="1" minValue="215" maxValue="215"/>
    </cacheField>
    <cacheField name="AD Prov- Forest degradation emission - Biomass" numFmtId="0">
      <sharedItems containsString="0" containsBlank="1" containsNumber="1" containsInteger="1" minValue="3928" maxValue="3928"/>
    </cacheField>
    <cacheField name="AD Prov-Peat Decomposition Emission (in forest degraded area)" numFmtId="0">
      <sharedItems containsString="0" containsBlank="1" containsNumber="1" containsInteger="1" minValue="508" maxValue="508"/>
    </cacheField>
    <cacheField name="AGB+DOM fire emission (in forest degraded area)" numFmtId="0">
      <sharedItems containsString="0" containsBlank="1" containsNumber="1" containsInteger="1" minValue="5" maxValue="5"/>
    </cacheField>
    <cacheField name="Enhance of forest carbon stock (EFCS) - Biomass" numFmtId="0">
      <sharedItems containsString="0" containsBlank="1" containsNumber="1" containsInteger="1" minValue="1786" maxValue="1786"/>
    </cacheField>
    <cacheField name="Peat Decomposition Emission (in EFCS area)" numFmtId="0">
      <sharedItems containsString="0" containsBlank="1" containsNumber="1" containsInteger="1" minValue="528" maxValue="528"/>
    </cacheField>
    <cacheField name="PAD-Deforestation Emission  - Biomass" numFmtId="0">
      <sharedItems containsString="0" containsBlank="1" containsNumber="1" minValue="4.1278769031227909E-2" maxValue="1"/>
    </cacheField>
    <cacheField name="PAD-Peat Decomposition Emission (in deforested area)" numFmtId="0">
      <sharedItems containsString="0" containsBlank="1" containsNumber="1" minValue="4.9054990519105349E-2" maxValue="1"/>
    </cacheField>
    <cacheField name="PAD-Peat fire emission" numFmtId="0">
      <sharedItems containsString="0" containsBlank="1" containsNumber="1" minValue="4.9054990519105349E-2" maxValue="1"/>
    </cacheField>
    <cacheField name="PAD-AGB+DOM fire emission (in deforested area)" numFmtId="0">
      <sharedItems containsString="0" containsBlank="1" containsNumber="1" minValue="4.1278769031227909E-2" maxValue="1"/>
    </cacheField>
    <cacheField name="PAD-Mangrove soil emissions (in deforested area)" numFmtId="0">
      <sharedItems containsString="0" containsBlank="1" containsNumber="1" minValue="0.10322328641265012" maxValue="1"/>
    </cacheField>
    <cacheField name="PAD-Forest degradation emission - Biomass" numFmtId="0">
      <sharedItems containsString="0" containsBlank="1" containsNumber="1" minValue="7.3837632313357047E-3" maxValue="1"/>
    </cacheField>
    <cacheField name="PAD-Peat Decomposition Emission (in forest degraded area)" numFmtId="0">
      <sharedItems containsString="0" containsBlank="1" containsNumber="1" containsInteger="1" minValue="0" maxValue="0"/>
    </cacheField>
    <cacheField name="PAD-AGB+DOM fire emission (in forest degraded area)" numFmtId="0">
      <sharedItems containsString="0" containsBlank="1" containsNumber="1" minValue="7.3837632313357047E-3" maxValue="1"/>
    </cacheField>
    <cacheField name="PAD-Enhance of forest carbon stock (EFCS) - Biomass" numFmtId="0">
      <sharedItems containsString="0" containsBlank="1" containsNumber="1" minValue="2.0318608039790124E-2" maxValue="1"/>
    </cacheField>
    <cacheField name="PAD-Peat Decomposition Emission (in EFCS area)" numFmtId="0">
      <sharedItems containsString="0" containsBlank="1" containsNumber="1" minValue="1.6680284035027977E-2" maxValue="1"/>
    </cacheField>
    <cacheField name="EFF-Deforestation Emission  - Biomass" numFmtId="0">
      <sharedItems containsString="0" containsBlank="1" containsNumber="1" minValue="0" maxValue="3.5000000000000003E-2"/>
    </cacheField>
    <cacheField name="EFF-Peat Decomposition Emission (in deforested area)" numFmtId="0">
      <sharedItems containsString="0" containsBlank="1" containsNumber="1" minValue="0" maxValue="4.7744791691814316E-2"/>
    </cacheField>
    <cacheField name="EFF-Peat fire emission" numFmtId="0">
      <sharedItems containsString="0" containsBlank="1" containsNumber="1" minValue="0" maxValue="4.7744791691814316E-2"/>
    </cacheField>
    <cacheField name="EFF-AGB+DOM fire emission (in deforested area)" numFmtId="0">
      <sharedItems containsString="0" containsBlank="1" containsNumber="1" minValue="0" maxValue="3.5000000000000003E-2"/>
    </cacheField>
    <cacheField name="EFF-Mangrove soil emissions (in deforested area)" numFmtId="0">
      <sharedItems containsString="0" containsBlank="1" containsNumber="1" minValue="0" maxValue="0.1323764876448868"/>
    </cacheField>
    <cacheField name="EFF-Forest degradation emission - Biomass" numFmtId="0">
      <sharedItems containsString="0" containsBlank="1" containsNumber="1" minValue="0" maxValue="4.696773560979739E-2"/>
    </cacheField>
    <cacheField name="EFF-Peat Decomposition Emission (in forest degraded area)" numFmtId="0">
      <sharedItems containsString="0" containsBlank="1" containsNumber="1" containsInteger="1" minValue="0" maxValue="0"/>
    </cacheField>
    <cacheField name="EFF-AGB+DOM fire emission (in forest degraded area)" numFmtId="0">
      <sharedItems containsString="0" containsBlank="1" containsNumber="1" minValue="0" maxValue="4.696773560979739E-2"/>
    </cacheField>
    <cacheField name="EFF-Enhance of forest carbon stock (EFCS) - Biomass" numFmtId="0">
      <sharedItems containsString="0" containsBlank="1" containsNumber="1" minValue="0" maxValue="8.9787968161100462E-2"/>
    </cacheField>
    <cacheField name="EFF-Peat Decomposition Emission (in EFCS area)" numFmtId="0">
      <sharedItems containsString="0" containsBlank="1" containsNumber="1" minValue="0" maxValue="0.11672211447285202"/>
    </cacheField>
    <cacheField name="EAD-Deforestation Emission  - Biomass" numFmtId="0">
      <sharedItems containsString="0" containsBlank="1" containsNumber="1" minValue="0" maxValue="2326.625"/>
    </cacheField>
    <cacheField name="EAD-Peat Decomposition Emission (in deforested area)" numFmtId="0">
      <sharedItems containsString="0" containsBlank="1" containsNumber="1" minValue="0" maxValue="1214.7707350148316"/>
    </cacheField>
    <cacheField name="EAD-Peat fire emission" numFmtId="0">
      <sharedItems containsString="0" containsBlank="1" containsNumber="1" minValue="0" maxValue="346.5316980991883"/>
    </cacheField>
    <cacheField name="EAD-AGB+DOM fire emission (in deforested area)" numFmtId="0">
      <sharedItems containsString="0" containsBlank="1" containsNumber="1" minValue="0" maxValue="17.5"/>
    </cacheField>
    <cacheField name="EAD-Mangrove soil emissions (in deforested area)" numFmtId="0">
      <sharedItems containsString="0" containsBlank="1" containsNumber="1" minValue="0" maxValue="28.460944843650662"/>
    </cacheField>
    <cacheField name="EAD-Forest degradation emission - Biomass" numFmtId="0">
      <sharedItems containsString="0" containsBlank="1" containsNumber="1" minValue="0" maxValue="184.48926547528416"/>
    </cacheField>
    <cacheField name="EAD-Peat Decomposition Emission (in forest degraded area)" numFmtId="0">
      <sharedItems containsString="0" containsBlank="1" containsNumber="1" containsInteger="1" minValue="0" maxValue="0"/>
    </cacheField>
    <cacheField name="EAD-AGB+DOM fire emission (in forest degraded area)" numFmtId="0">
      <sharedItems containsString="0" containsBlank="1" containsNumber="1" minValue="0" maxValue="0.23483867804898695"/>
    </cacheField>
    <cacheField name="EAD-Enhance of forest carbon stock (EFCS) - Biomass" numFmtId="0">
      <sharedItems containsString="0" containsBlank="1" containsNumber="1" minValue="0" maxValue="160.36131113572543"/>
    </cacheField>
    <cacheField name="EAD-Peat Decomposition Emission (in EFCS area)" numFmtId="0">
      <sharedItems containsString="0" containsBlank="1" containsNumber="1" minValue="0" maxValue="61.629276441665866"/>
    </cacheField>
    <cacheField name="ER-Deforestation Emission  - Biomass" numFmtId="0">
      <sharedItems containsString="0" containsBlank="1" containsNumber="1" minValue="0" maxValue="865688.80999999994"/>
    </cacheField>
    <cacheField name="ER-Peat Decomposition Emission (in deforested area)" numFmtId="0">
      <sharedItems containsString="0" containsBlank="1" containsNumber="1" minValue="0" maxValue="45818.671305383141"/>
    </cacheField>
    <cacheField name="ER-Peat fire emission" numFmtId="0">
      <sharedItems containsString="0" containsBlank="1" containsNumber="1" minValue="0" maxValue="176389.21783248926"/>
    </cacheField>
    <cacheField name="ER-AGB+DOM fire emission (in deforested area)" numFmtId="0">
      <sharedItems containsString="0" containsBlank="1" containsNumber="1" minValue="0" maxValue="880.74"/>
    </cacheField>
    <cacheField name="ER-Mangrove soil emissions (in deforested area)" numFmtId="0">
      <sharedItems containsString="0" containsBlank="1" containsNumber="1" minValue="0" maxValue="1388.8941083701523"/>
    </cacheField>
    <cacheField name="ER-Forest degradation emission - Biomass" numFmtId="0">
      <sharedItems containsString="0" containsBlank="1" containsNumber="1" minValue="0" maxValue="38353.852898960547"/>
    </cacheField>
    <cacheField name="ER-Peat Decomposition Emission (in forest degraded area)" numFmtId="0">
      <sharedItems containsString="0" containsBlank="1" containsNumber="1" containsInteger="1" minValue="0" maxValue="0"/>
    </cacheField>
    <cacheField name="ER-AGB+DOM fire emission (in forest degraded area)" numFmtId="0">
      <sharedItems containsString="0" containsBlank="1" containsNumber="1" minValue="0" maxValue="9.7223212712280596"/>
    </cacheField>
    <cacheField name="ER-Enhance of forest carbon stock (EFCS) - Biomass" numFmtId="0">
      <sharedItems containsString="0" containsBlank="1" containsNumber="1" minValue="0" maxValue="57442.570934809315"/>
    </cacheField>
    <cacheField name="ER-Peat Decomposition Emission (in EFCS area)" numFmtId="0">
      <sharedItems containsString="0" containsBlank="1" containsNumber="1" minValue="0" maxValue="2576.057066415844"/>
    </cacheField>
    <cacheField name="Total Expected ER (tCO2)" numFmtId="0">
      <sharedItems containsString="0" containsBlank="1" containsNumber="1" minValue="0" maxValue="1081581.655"/>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65">
  <r>
    <x v="0"/>
    <x v="0"/>
    <x v="0"/>
    <x v="0"/>
    <x v="0"/>
    <m/>
    <m/>
    <m/>
    <m/>
    <m/>
    <m/>
    <m/>
    <m/>
    <m/>
    <m/>
    <m/>
    <m/>
    <m/>
    <m/>
    <m/>
    <m/>
    <m/>
    <m/>
    <m/>
    <m/>
    <m/>
    <m/>
    <m/>
    <m/>
    <m/>
    <m/>
    <m/>
    <m/>
    <m/>
    <m/>
    <m/>
    <m/>
    <m/>
    <m/>
    <m/>
    <m/>
    <m/>
    <m/>
    <m/>
    <m/>
    <m/>
    <m/>
    <m/>
    <m/>
    <m/>
    <m/>
    <m/>
    <m/>
    <m/>
    <m/>
    <m/>
    <m/>
    <m/>
  </r>
  <r>
    <x v="0"/>
    <x v="1"/>
    <x v="0"/>
    <x v="0"/>
    <x v="1"/>
    <m/>
    <m/>
    <m/>
    <m/>
    <m/>
    <m/>
    <m/>
    <m/>
    <m/>
    <m/>
    <m/>
    <m/>
    <m/>
    <m/>
    <m/>
    <m/>
    <m/>
    <m/>
    <m/>
    <m/>
    <m/>
    <m/>
    <m/>
    <m/>
    <m/>
    <m/>
    <m/>
    <m/>
    <m/>
    <m/>
    <m/>
    <m/>
    <m/>
    <m/>
    <m/>
    <m/>
    <m/>
    <m/>
    <m/>
    <m/>
    <m/>
    <m/>
    <m/>
    <m/>
    <m/>
    <m/>
    <m/>
    <m/>
    <m/>
    <m/>
    <m/>
    <m/>
    <m/>
  </r>
  <r>
    <x v="0"/>
    <x v="1"/>
    <x v="1"/>
    <x v="0"/>
    <x v="2"/>
    <s v="Adaptation"/>
    <s v="Province"/>
    <n v="66475"/>
    <n v="25443"/>
    <n v="7258"/>
    <n v="500"/>
    <n v="215"/>
    <n v="3928"/>
    <n v="508"/>
    <n v="5"/>
    <n v="1786"/>
    <n v="528"/>
    <m/>
    <m/>
    <m/>
    <m/>
    <m/>
    <m/>
    <m/>
    <m/>
    <m/>
    <m/>
    <m/>
    <m/>
    <m/>
    <m/>
    <m/>
    <m/>
    <m/>
    <m/>
    <m/>
    <m/>
    <m/>
    <m/>
    <m/>
    <m/>
    <m/>
    <m/>
    <m/>
    <m/>
    <m/>
    <m/>
    <m/>
    <m/>
    <m/>
    <m/>
    <m/>
    <m/>
    <m/>
    <m/>
    <m/>
    <m/>
    <m/>
  </r>
  <r>
    <x v="0"/>
    <x v="1"/>
    <x v="1"/>
    <x v="1"/>
    <x v="3"/>
    <s v="Adaptation"/>
    <s v="Province"/>
    <n v="66475"/>
    <n v="25443"/>
    <n v="7258"/>
    <n v="500"/>
    <n v="215"/>
    <n v="3928"/>
    <n v="508"/>
    <n v="5"/>
    <n v="1786"/>
    <n v="528"/>
    <n v="1"/>
    <n v="1"/>
    <n v="1"/>
    <n v="1"/>
    <n v="1"/>
    <n v="1"/>
    <n v="0"/>
    <n v="1"/>
    <n v="1"/>
    <n v="1"/>
    <n v="0"/>
    <n v="0"/>
    <n v="0"/>
    <n v="0"/>
    <n v="0"/>
    <n v="0"/>
    <n v="0"/>
    <n v="0"/>
    <n v="0"/>
    <n v="0"/>
    <n v="0"/>
    <n v="0"/>
    <n v="0"/>
    <n v="0"/>
    <n v="0"/>
    <n v="0"/>
    <n v="0"/>
    <n v="0"/>
    <n v="0"/>
    <n v="0"/>
    <n v="0"/>
    <n v="0"/>
    <n v="0"/>
    <n v="0"/>
    <n v="0"/>
    <n v="0"/>
    <n v="0"/>
    <n v="0"/>
    <n v="0"/>
    <n v="0"/>
    <n v="0"/>
  </r>
  <r>
    <x v="0"/>
    <x v="1"/>
    <x v="1"/>
    <x v="2"/>
    <x v="4"/>
    <s v="Adaptation"/>
    <s v="Province"/>
    <n v="66475"/>
    <n v="25443"/>
    <n v="7258"/>
    <n v="500"/>
    <n v="215"/>
    <n v="3928"/>
    <n v="508"/>
    <n v="5"/>
    <n v="1786"/>
    <n v="528"/>
    <n v="1"/>
    <n v="1"/>
    <n v="1"/>
    <n v="1"/>
    <n v="1"/>
    <n v="1"/>
    <n v="0"/>
    <n v="1"/>
    <n v="1"/>
    <n v="1"/>
    <n v="0"/>
    <n v="0"/>
    <n v="0"/>
    <n v="0"/>
    <n v="0"/>
    <n v="0"/>
    <n v="0"/>
    <n v="0"/>
    <n v="0"/>
    <n v="0"/>
    <n v="0"/>
    <n v="0"/>
    <n v="0"/>
    <n v="0"/>
    <n v="0"/>
    <n v="0"/>
    <n v="0"/>
    <n v="0"/>
    <n v="0"/>
    <n v="0"/>
    <n v="0"/>
    <n v="0"/>
    <n v="0"/>
    <n v="0"/>
    <n v="0"/>
    <n v="0"/>
    <n v="0"/>
    <n v="0"/>
    <n v="0"/>
    <n v="0"/>
    <n v="0"/>
  </r>
  <r>
    <x v="0"/>
    <x v="1"/>
    <x v="1"/>
    <x v="3"/>
    <x v="5"/>
    <s v="Adaptation"/>
    <s v="Province"/>
    <n v="66475"/>
    <n v="25443"/>
    <n v="7258"/>
    <n v="500"/>
    <n v="215"/>
    <n v="3928"/>
    <n v="508"/>
    <n v="5"/>
    <n v="1786"/>
    <n v="528"/>
    <n v="1"/>
    <n v="1"/>
    <n v="1"/>
    <n v="1"/>
    <n v="1"/>
    <n v="1"/>
    <n v="0"/>
    <n v="1"/>
    <n v="1"/>
    <n v="1"/>
    <n v="0"/>
    <n v="0"/>
    <n v="0"/>
    <n v="0"/>
    <n v="0"/>
    <n v="0"/>
    <n v="0"/>
    <n v="0"/>
    <n v="0"/>
    <n v="0"/>
    <n v="0"/>
    <n v="0"/>
    <n v="0"/>
    <n v="0"/>
    <n v="0"/>
    <n v="0"/>
    <n v="0"/>
    <n v="0"/>
    <n v="0"/>
    <n v="0"/>
    <n v="0"/>
    <n v="0"/>
    <n v="0"/>
    <n v="0"/>
    <n v="0"/>
    <n v="0"/>
    <n v="0"/>
    <n v="0"/>
    <n v="0"/>
    <n v="0"/>
    <n v="0"/>
  </r>
  <r>
    <x v="0"/>
    <x v="2"/>
    <x v="2"/>
    <x v="4"/>
    <x v="6"/>
    <s v="Adaptation"/>
    <s v="Province"/>
    <n v="66475"/>
    <n v="25443"/>
    <n v="7258"/>
    <n v="500"/>
    <n v="215"/>
    <n v="3928"/>
    <n v="508"/>
    <n v="5"/>
    <n v="1786"/>
    <n v="528"/>
    <n v="1"/>
    <n v="1"/>
    <n v="1"/>
    <n v="1"/>
    <n v="1"/>
    <n v="1"/>
    <n v="0"/>
    <n v="1"/>
    <n v="1"/>
    <n v="1"/>
    <n v="0"/>
    <n v="0"/>
    <n v="0"/>
    <n v="0"/>
    <n v="0"/>
    <n v="0"/>
    <n v="0"/>
    <n v="0"/>
    <n v="0"/>
    <n v="0"/>
    <n v="0"/>
    <n v="0"/>
    <n v="0"/>
    <n v="0"/>
    <n v="0"/>
    <n v="0"/>
    <n v="0"/>
    <n v="0"/>
    <n v="0"/>
    <n v="0"/>
    <n v="0"/>
    <n v="0"/>
    <n v="0"/>
    <n v="0"/>
    <n v="0"/>
    <n v="0"/>
    <n v="0"/>
    <n v="0"/>
    <n v="0"/>
    <n v="0"/>
    <n v="0"/>
  </r>
  <r>
    <x v="0"/>
    <x v="1"/>
    <x v="3"/>
    <x v="0"/>
    <x v="7"/>
    <s v="Enabling program"/>
    <s v="Province"/>
    <n v="66475"/>
    <n v="25443"/>
    <n v="7258"/>
    <n v="500"/>
    <n v="215"/>
    <n v="3928"/>
    <n v="508"/>
    <n v="5"/>
    <n v="1786"/>
    <n v="528"/>
    <m/>
    <m/>
    <m/>
    <m/>
    <m/>
    <m/>
    <m/>
    <m/>
    <m/>
    <m/>
    <n v="0"/>
    <n v="0"/>
    <n v="0"/>
    <n v="0"/>
    <n v="0"/>
    <n v="0"/>
    <n v="0"/>
    <n v="0"/>
    <n v="0"/>
    <n v="0"/>
    <n v="0"/>
    <n v="0"/>
    <n v="0"/>
    <n v="0"/>
    <n v="0"/>
    <n v="0"/>
    <n v="0"/>
    <n v="0"/>
    <n v="0"/>
    <n v="0"/>
    <n v="0"/>
    <n v="0"/>
    <n v="0"/>
    <n v="0"/>
    <n v="0"/>
    <n v="0"/>
    <n v="0"/>
    <n v="0"/>
    <n v="0"/>
    <n v="0"/>
    <n v="0"/>
  </r>
  <r>
    <x v="0"/>
    <x v="1"/>
    <x v="3"/>
    <x v="5"/>
    <x v="8"/>
    <s v="Enabling program"/>
    <s v="Province"/>
    <n v="66475"/>
    <n v="25443"/>
    <n v="7258"/>
    <n v="500"/>
    <n v="215"/>
    <n v="3928"/>
    <n v="508"/>
    <n v="5"/>
    <n v="1786"/>
    <n v="528"/>
    <n v="1"/>
    <n v="1"/>
    <n v="1"/>
    <n v="1"/>
    <n v="1"/>
    <n v="1"/>
    <n v="0"/>
    <n v="1"/>
    <n v="1"/>
    <n v="1"/>
    <n v="3.5000000000000003E-2"/>
    <n v="3.5000000000000003E-2"/>
    <n v="3.5000000000000003E-2"/>
    <n v="3.5000000000000003E-2"/>
    <n v="3.5000000000000003E-2"/>
    <n v="3.5000000000000003E-2"/>
    <n v="0"/>
    <n v="3.5000000000000003E-2"/>
    <n v="3.5000000000000003E-2"/>
    <n v="3.5000000000000003E-2"/>
    <n v="2326.625"/>
    <n v="890.50500000000011"/>
    <n v="254.03000000000003"/>
    <n v="17.5"/>
    <n v="7.5250000000000004"/>
    <n v="137.48000000000002"/>
    <n v="0"/>
    <n v="0.17500000000000002"/>
    <n v="62.510000000000005"/>
    <n v="18.48"/>
    <n v="865688.80999999994"/>
    <n v="33588.03"/>
    <n v="129304.63000000002"/>
    <n v="880.74"/>
    <n v="367.21999999999997"/>
    <n v="28581.000000000004"/>
    <n v="0"/>
    <n v="7.2450000000000001"/>
    <n v="22391.530000000002"/>
    <n v="772.44999999999993"/>
    <n v="1081581.655"/>
  </r>
  <r>
    <x v="0"/>
    <x v="1"/>
    <x v="3"/>
    <x v="6"/>
    <x v="9"/>
    <s v="Enabling program"/>
    <s v="Province"/>
    <n v="66475"/>
    <n v="25443"/>
    <n v="7258"/>
    <n v="500"/>
    <n v="215"/>
    <n v="3928"/>
    <n v="508"/>
    <n v="5"/>
    <n v="1786"/>
    <n v="528"/>
    <n v="1"/>
    <n v="1"/>
    <n v="1"/>
    <n v="1"/>
    <n v="1"/>
    <n v="1"/>
    <n v="0"/>
    <n v="1"/>
    <n v="1"/>
    <n v="1"/>
    <n v="3.5000000000000003E-2"/>
    <n v="3.5000000000000003E-2"/>
    <n v="3.5000000000000003E-2"/>
    <n v="3.5000000000000003E-2"/>
    <n v="3.5000000000000003E-2"/>
    <n v="3.5000000000000003E-2"/>
    <n v="0"/>
    <n v="3.5000000000000003E-2"/>
    <n v="3.5000000000000003E-2"/>
    <n v="3.5000000000000003E-2"/>
    <n v="2326.625"/>
    <n v="890.50500000000011"/>
    <n v="254.03000000000003"/>
    <n v="17.5"/>
    <n v="7.5250000000000004"/>
    <n v="137.48000000000002"/>
    <n v="0"/>
    <n v="0.17500000000000002"/>
    <n v="62.510000000000005"/>
    <n v="18.48"/>
    <n v="865688.80999999994"/>
    <n v="33588.03"/>
    <n v="129304.63000000002"/>
    <n v="880.74"/>
    <n v="367.21999999999997"/>
    <n v="28581.000000000004"/>
    <n v="0"/>
    <n v="7.2450000000000001"/>
    <n v="22391.530000000002"/>
    <n v="772.44999999999993"/>
    <n v="1081581.655"/>
  </r>
  <r>
    <x v="0"/>
    <x v="1"/>
    <x v="3"/>
    <x v="7"/>
    <x v="10"/>
    <s v="Enabling program"/>
    <s v="Province"/>
    <n v="66475"/>
    <n v="25443"/>
    <n v="7258"/>
    <n v="500"/>
    <n v="215"/>
    <n v="3928"/>
    <n v="508"/>
    <n v="5"/>
    <n v="1786"/>
    <n v="528"/>
    <n v="1"/>
    <n v="1"/>
    <n v="1"/>
    <n v="1"/>
    <n v="1"/>
    <n v="1"/>
    <n v="0"/>
    <n v="1"/>
    <n v="1"/>
    <n v="1"/>
    <n v="3.5000000000000003E-2"/>
    <n v="3.5000000000000003E-2"/>
    <n v="3.5000000000000003E-2"/>
    <n v="3.5000000000000003E-2"/>
    <n v="3.5000000000000003E-2"/>
    <n v="3.5000000000000003E-2"/>
    <n v="0"/>
    <n v="3.5000000000000003E-2"/>
    <n v="3.5000000000000003E-2"/>
    <n v="3.5000000000000003E-2"/>
    <n v="2326.625"/>
    <n v="890.50500000000011"/>
    <n v="254.03000000000003"/>
    <n v="17.5"/>
    <n v="7.5250000000000004"/>
    <n v="137.48000000000002"/>
    <n v="0"/>
    <n v="0.17500000000000002"/>
    <n v="62.510000000000005"/>
    <n v="18.48"/>
    <n v="865688.80999999994"/>
    <n v="33588.03"/>
    <n v="129304.63000000002"/>
    <n v="880.74"/>
    <n v="367.21999999999997"/>
    <n v="28581.000000000004"/>
    <n v="0"/>
    <n v="7.2450000000000001"/>
    <n v="22391.530000000002"/>
    <n v="772.44999999999993"/>
    <n v="1081581.655"/>
  </r>
  <r>
    <x v="0"/>
    <x v="1"/>
    <x v="3"/>
    <x v="8"/>
    <x v="11"/>
    <s v="Enabling program"/>
    <s v="Province"/>
    <n v="66475"/>
    <n v="25443"/>
    <n v="7258"/>
    <n v="500"/>
    <n v="215"/>
    <n v="3928"/>
    <n v="508"/>
    <n v="5"/>
    <n v="1786"/>
    <n v="528"/>
    <n v="1"/>
    <n v="1"/>
    <n v="1"/>
    <n v="1"/>
    <n v="1"/>
    <n v="1"/>
    <n v="0"/>
    <n v="1"/>
    <n v="1"/>
    <n v="1"/>
    <n v="3.5000000000000003E-2"/>
    <n v="3.5000000000000003E-2"/>
    <n v="3.5000000000000003E-2"/>
    <n v="3.5000000000000003E-2"/>
    <n v="3.5000000000000003E-2"/>
    <n v="3.5000000000000003E-2"/>
    <n v="0"/>
    <n v="3.5000000000000003E-2"/>
    <n v="3.5000000000000003E-2"/>
    <n v="3.5000000000000003E-2"/>
    <n v="2326.625"/>
    <n v="890.50500000000011"/>
    <n v="254.03000000000003"/>
    <n v="17.5"/>
    <n v="7.5250000000000004"/>
    <n v="137.48000000000002"/>
    <n v="0"/>
    <n v="0.17500000000000002"/>
    <n v="62.510000000000005"/>
    <n v="18.48"/>
    <n v="865688.80999999994"/>
    <n v="33588.03"/>
    <n v="129304.63000000002"/>
    <n v="880.74"/>
    <n v="367.21999999999997"/>
    <n v="28581.000000000004"/>
    <n v="0"/>
    <n v="7.2450000000000001"/>
    <n v="22391.530000000002"/>
    <n v="772.44999999999993"/>
    <n v="1081581.655"/>
  </r>
  <r>
    <x v="0"/>
    <x v="1"/>
    <x v="4"/>
    <x v="0"/>
    <x v="12"/>
    <s v="Enabling program"/>
    <s v="Province"/>
    <n v="66475"/>
    <n v="25443"/>
    <n v="7258"/>
    <n v="500"/>
    <n v="215"/>
    <n v="3928"/>
    <n v="508"/>
    <n v="5"/>
    <n v="1786"/>
    <n v="528"/>
    <n v="1"/>
    <n v="1"/>
    <n v="1"/>
    <n v="1"/>
    <n v="1"/>
    <n v="1"/>
    <n v="0"/>
    <n v="1"/>
    <n v="1"/>
    <n v="1"/>
    <n v="3.5000000000000003E-2"/>
    <n v="3.5000000000000003E-2"/>
    <n v="3.5000000000000003E-2"/>
    <n v="3.5000000000000003E-2"/>
    <n v="3.5000000000000003E-2"/>
    <n v="3.5000000000000003E-2"/>
    <n v="0"/>
    <n v="3.5000000000000003E-2"/>
    <n v="3.5000000000000003E-2"/>
    <n v="3.5000000000000003E-2"/>
    <n v="2326.625"/>
    <n v="890.50500000000011"/>
    <n v="254.03000000000003"/>
    <n v="17.5"/>
    <n v="7.5250000000000004"/>
    <n v="137.48000000000002"/>
    <n v="0"/>
    <n v="0.17500000000000002"/>
    <n v="62.510000000000005"/>
    <n v="18.48"/>
    <m/>
    <m/>
    <m/>
    <m/>
    <m/>
    <m/>
    <m/>
    <m/>
    <m/>
    <m/>
    <m/>
  </r>
  <r>
    <x v="0"/>
    <x v="1"/>
    <x v="4"/>
    <x v="9"/>
    <x v="13"/>
    <s v="Enabling program"/>
    <s v="Province"/>
    <n v="66475"/>
    <n v="25443"/>
    <n v="7258"/>
    <n v="500"/>
    <n v="215"/>
    <n v="3928"/>
    <n v="508"/>
    <n v="5"/>
    <n v="1786"/>
    <n v="528"/>
    <n v="1"/>
    <n v="1"/>
    <n v="1"/>
    <n v="1"/>
    <n v="1"/>
    <n v="1"/>
    <n v="0"/>
    <n v="1"/>
    <n v="1"/>
    <n v="1"/>
    <n v="3.5000000000000003E-2"/>
    <n v="3.5000000000000003E-2"/>
    <n v="3.5000000000000003E-2"/>
    <n v="3.5000000000000003E-2"/>
    <n v="3.5000000000000003E-2"/>
    <n v="3.5000000000000003E-2"/>
    <n v="0"/>
    <n v="3.5000000000000003E-2"/>
    <n v="3.5000000000000003E-2"/>
    <n v="3.5000000000000003E-2"/>
    <n v="2326.625"/>
    <n v="890.50500000000011"/>
    <n v="254.03000000000003"/>
    <n v="17.5"/>
    <n v="7.5250000000000004"/>
    <n v="137.48000000000002"/>
    <n v="0"/>
    <n v="0.17500000000000002"/>
    <n v="62.510000000000005"/>
    <n v="18.48"/>
    <n v="865688.80999999994"/>
    <n v="33588.03"/>
    <n v="129304.63000000002"/>
    <n v="880.74"/>
    <n v="367.21999999999997"/>
    <n v="28581.000000000004"/>
    <n v="0"/>
    <n v="7.2450000000000001"/>
    <n v="22391.530000000002"/>
    <n v="772.44999999999993"/>
    <n v="1081581.655"/>
  </r>
  <r>
    <x v="0"/>
    <x v="1"/>
    <x v="4"/>
    <x v="10"/>
    <x v="14"/>
    <s v="Enabling program"/>
    <s v="Province"/>
    <n v="66475"/>
    <n v="25443"/>
    <n v="7258"/>
    <n v="500"/>
    <n v="215"/>
    <n v="3928"/>
    <n v="508"/>
    <n v="5"/>
    <n v="1786"/>
    <n v="528"/>
    <n v="1"/>
    <n v="1"/>
    <n v="1"/>
    <n v="1"/>
    <n v="1"/>
    <n v="1"/>
    <n v="0"/>
    <n v="1"/>
    <n v="1"/>
    <n v="1"/>
    <n v="3.5000000000000003E-2"/>
    <n v="3.5000000000000003E-2"/>
    <n v="3.5000000000000003E-2"/>
    <n v="3.5000000000000003E-2"/>
    <n v="3.5000000000000003E-2"/>
    <n v="3.5000000000000003E-2"/>
    <n v="0"/>
    <n v="3.5000000000000003E-2"/>
    <n v="3.5000000000000003E-2"/>
    <n v="3.5000000000000003E-2"/>
    <n v="2326.625"/>
    <n v="890.50500000000011"/>
    <n v="254.03000000000003"/>
    <n v="17.5"/>
    <n v="7.5250000000000004"/>
    <n v="137.48000000000002"/>
    <n v="0"/>
    <n v="0.17500000000000002"/>
    <n v="62.510000000000005"/>
    <n v="18.48"/>
    <n v="865688.80999999994"/>
    <n v="33588.03"/>
    <n v="129304.63000000002"/>
    <n v="880.74"/>
    <n v="367.21999999999997"/>
    <n v="28581.000000000004"/>
    <n v="0"/>
    <n v="7.2450000000000001"/>
    <n v="22391.530000000002"/>
    <n v="772.44999999999993"/>
    <n v="1081581.655"/>
  </r>
  <r>
    <x v="0"/>
    <x v="3"/>
    <x v="0"/>
    <x v="0"/>
    <x v="15"/>
    <m/>
    <m/>
    <m/>
    <m/>
    <m/>
    <m/>
    <m/>
    <m/>
    <m/>
    <m/>
    <m/>
    <m/>
    <m/>
    <m/>
    <m/>
    <m/>
    <m/>
    <m/>
    <m/>
    <m/>
    <m/>
    <m/>
    <m/>
    <m/>
    <m/>
    <m/>
    <m/>
    <m/>
    <m/>
    <m/>
    <m/>
    <m/>
    <m/>
    <m/>
    <m/>
    <m/>
    <m/>
    <m/>
    <m/>
    <m/>
    <m/>
    <m/>
    <m/>
    <m/>
    <m/>
    <m/>
    <m/>
    <m/>
    <m/>
    <m/>
    <m/>
    <m/>
    <m/>
  </r>
  <r>
    <x v="0"/>
    <x v="3"/>
    <x v="5"/>
    <x v="0"/>
    <x v="16"/>
    <s v="Enabling program"/>
    <s v="Province"/>
    <m/>
    <m/>
    <m/>
    <m/>
    <m/>
    <m/>
    <m/>
    <m/>
    <m/>
    <m/>
    <m/>
    <m/>
    <m/>
    <m/>
    <m/>
    <m/>
    <m/>
    <m/>
    <m/>
    <m/>
    <m/>
    <m/>
    <m/>
    <m/>
    <m/>
    <m/>
    <m/>
    <m/>
    <m/>
    <m/>
    <m/>
    <m/>
    <m/>
    <m/>
    <m/>
    <m/>
    <m/>
    <m/>
    <m/>
    <m/>
    <m/>
    <m/>
    <m/>
    <m/>
    <m/>
    <m/>
    <m/>
    <m/>
    <m/>
    <m/>
    <m/>
  </r>
  <r>
    <x v="0"/>
    <x v="3"/>
    <x v="5"/>
    <x v="11"/>
    <x v="17"/>
    <s v="Enabling program"/>
    <s v="Province APL"/>
    <n v="66475"/>
    <n v="25443"/>
    <n v="7258"/>
    <n v="500"/>
    <n v="215"/>
    <n v="3928"/>
    <n v="508"/>
    <n v="5"/>
    <n v="1786"/>
    <n v="528"/>
    <n v="8.0016340672886779E-2"/>
    <n v="0.23439608722285371"/>
    <n v="0.23439608722285371"/>
    <n v="8.0016340672886779E-2"/>
    <n v="0.10322328641265012"/>
    <n v="7.3837632313357047E-3"/>
    <n v="0"/>
    <n v="7.3837632313357047E-3"/>
    <n v="0.44080092657018277"/>
    <n v="0.57303018728020094"/>
    <n v="2.8005719235510377E-3"/>
    <n v="8.2038630527998813E-3"/>
    <n v="8.2038630527998813E-3"/>
    <n v="2.8005719235510377E-3"/>
    <n v="3.6128150244427544E-3"/>
    <n v="2.5843171309674967E-4"/>
    <n v="0"/>
    <n v="2.5843171309674967E-4"/>
    <n v="1.5428032429956398E-2"/>
    <n v="2.0056056554807036E-2"/>
    <n v="186.16801861805524"/>
    <n v="208.73088765238737"/>
    <n v="59.543638037221541"/>
    <n v="1.4002859617755188"/>
    <n v="0.77675523025519222"/>
    <n v="1.0151197690440328"/>
    <n v="0"/>
    <n v="1.2921585654837482E-3"/>
    <n v="27.554465919902128"/>
    <n v="10.589597860938115"/>
    <n v="69269.250737665963"/>
    <n v="7872.9028095238273"/>
    <n v="30308.499331798834"/>
    <n v="70.473591884238317"/>
    <n v="37.905655236453377"/>
    <n v="211.03533691480581"/>
    <n v="0"/>
    <n v="5.3495364611027177E-2"/>
    <n v="9870.2071713240457"/>
    <n v="442.63716816459129"/>
    <n v="118082.96529787737"/>
  </r>
  <r>
    <x v="0"/>
    <x v="3"/>
    <x v="5"/>
    <x v="12"/>
    <x v="18"/>
    <s v="Direct mitigation1"/>
    <s v="Province APL"/>
    <n v="66475"/>
    <n v="25443"/>
    <n v="7258"/>
    <n v="500"/>
    <n v="215"/>
    <n v="3928"/>
    <n v="508"/>
    <n v="5"/>
    <n v="1786"/>
    <n v="528"/>
    <n v="8.0016340672886779E-2"/>
    <n v="0.23439608722285371"/>
    <n v="0.23439608722285371"/>
    <n v="8.0016340672886779E-2"/>
    <n v="0.10322328641265012"/>
    <n v="7.3837632313357047E-3"/>
    <n v="0"/>
    <n v="7.3837632313357047E-3"/>
    <n v="0.44080092657018277"/>
    <n v="0.57303018728020094"/>
    <n v="1.6298751240399298E-2"/>
    <n v="4.7744791691814316E-2"/>
    <n v="4.7744791691814316E-2"/>
    <n v="1.6298751240399298E-2"/>
    <n v="2.1025838638811325E-2"/>
    <n v="1.5040192929783197E-3"/>
    <n v="0"/>
    <n v="1.5040192929783197E-3"/>
    <n v="8.9787968161100462E-2"/>
    <n v="0.11672211447285202"/>
    <n v="1083.4594887055434"/>
    <n v="1214.7707350148316"/>
    <n v="346.5316980991883"/>
    <n v="8.149375620199649"/>
    <n v="4.5205553073444351"/>
    <n v="5.9077877828188399"/>
    <n v="0"/>
    <n v="7.5200964648915979E-3"/>
    <n v="160.36131113572543"/>
    <n v="61.629276441665866"/>
    <n v="403132.75902249408"/>
    <n v="45818.671305383141"/>
    <n v="176389.21783248926"/>
    <n v="410.14177621340798"/>
    <n v="220.60309899840843"/>
    <n v="1228.1821546460958"/>
    <n v="0"/>
    <n v="0.31133199364651215"/>
    <n v="57442.570934809315"/>
    <n v="2576.057066415844"/>
    <n v="687218.5145234433"/>
  </r>
  <r>
    <x v="0"/>
    <x v="3"/>
    <x v="5"/>
    <x v="13"/>
    <x v="19"/>
    <s v="Enabling program"/>
    <s v="Province APL"/>
    <n v="66475"/>
    <n v="25443"/>
    <n v="7258"/>
    <n v="500"/>
    <n v="215"/>
    <n v="3928"/>
    <n v="508"/>
    <n v="5"/>
    <n v="1786"/>
    <n v="528"/>
    <n v="8.0016340672886779E-2"/>
    <n v="0.23439608722285371"/>
    <n v="0.23439608722285371"/>
    <n v="8.0016340672886779E-2"/>
    <n v="0.10322328641265012"/>
    <n v="7.3837632313357047E-3"/>
    <n v="0"/>
    <n v="7.3837632313357047E-3"/>
    <n v="0.44080092657018277"/>
    <n v="0.57303018728020094"/>
    <n v="2.8005719235510377E-3"/>
    <n v="8.2038630527998813E-3"/>
    <n v="8.2038630527998813E-3"/>
    <n v="2.8005719235510377E-3"/>
    <n v="3.6128150244427544E-3"/>
    <n v="2.5843171309674967E-4"/>
    <n v="0"/>
    <n v="2.5843171309674967E-4"/>
    <n v="1.5428032429956398E-2"/>
    <n v="2.0056056554807036E-2"/>
    <n v="186.16801861805524"/>
    <n v="208.73088765238737"/>
    <n v="59.543638037221541"/>
    <n v="1.4002859617755188"/>
    <n v="0.77675523025519222"/>
    <n v="1.0151197690440328"/>
    <n v="0"/>
    <n v="1.2921585654837482E-3"/>
    <n v="27.554465919902128"/>
    <n v="10.589597860938115"/>
    <n v="69269.250737665963"/>
    <n v="7872.9028095238273"/>
    <n v="30308.499331798834"/>
    <n v="70.473591884238317"/>
    <n v="37.905655236453377"/>
    <n v="211.03533691480581"/>
    <n v="0"/>
    <n v="5.3495364611027177E-2"/>
    <n v="9870.2071713240457"/>
    <n v="442.63716816459129"/>
    <n v="118082.96529787737"/>
  </r>
  <r>
    <x v="0"/>
    <x v="3"/>
    <x v="5"/>
    <x v="14"/>
    <x v="20"/>
    <s v="Enabling program"/>
    <s v="Province APL"/>
    <n v="66475"/>
    <n v="25443"/>
    <n v="7258"/>
    <n v="500"/>
    <n v="215"/>
    <n v="3928"/>
    <n v="508"/>
    <n v="5"/>
    <n v="1786"/>
    <n v="528"/>
    <n v="8.0016340672886779E-2"/>
    <n v="0.23439608722285371"/>
    <n v="0.23439608722285371"/>
    <n v="8.0016340672886779E-2"/>
    <n v="0.10322328641265012"/>
    <n v="7.3837632313357047E-3"/>
    <n v="0"/>
    <n v="7.3837632313357047E-3"/>
    <n v="0.44080092657018277"/>
    <n v="0.57303018728020094"/>
    <n v="2.8005719235510377E-3"/>
    <n v="8.2038630527998813E-3"/>
    <n v="8.2038630527998813E-3"/>
    <n v="2.8005719235510377E-3"/>
    <n v="3.6128150244427544E-3"/>
    <n v="2.5843171309674967E-4"/>
    <n v="0"/>
    <n v="2.5843171309674967E-4"/>
    <n v="1.5428032429956398E-2"/>
    <n v="2.0056056554807036E-2"/>
    <n v="186.16801861805524"/>
    <n v="208.73088765238737"/>
    <n v="59.543638037221541"/>
    <n v="1.4002859617755188"/>
    <n v="0.77675523025519222"/>
    <n v="1.0151197690440328"/>
    <n v="0"/>
    <n v="1.2921585654837482E-3"/>
    <n v="27.554465919902128"/>
    <n v="10.589597860938115"/>
    <n v="69269.250737665963"/>
    <n v="7872.9028095238273"/>
    <n v="30308.499331798834"/>
    <n v="70.473591884238317"/>
    <n v="37.905655236453377"/>
    <n v="211.03533691480581"/>
    <n v="0"/>
    <n v="5.3495364611027177E-2"/>
    <n v="9870.2071713240457"/>
    <n v="442.63716816459129"/>
    <n v="118082.96529787737"/>
  </r>
  <r>
    <x v="0"/>
    <x v="3"/>
    <x v="5"/>
    <x v="15"/>
    <x v="21"/>
    <m/>
    <m/>
    <m/>
    <m/>
    <m/>
    <m/>
    <m/>
    <m/>
    <m/>
    <m/>
    <m/>
    <m/>
    <m/>
    <m/>
    <m/>
    <m/>
    <m/>
    <m/>
    <m/>
    <m/>
    <m/>
    <m/>
    <m/>
    <m/>
    <m/>
    <m/>
    <m/>
    <m/>
    <m/>
    <m/>
    <m/>
    <m/>
    <m/>
    <m/>
    <m/>
    <m/>
    <m/>
    <m/>
    <m/>
    <m/>
    <m/>
    <m/>
    <m/>
    <m/>
    <m/>
    <m/>
    <m/>
    <m/>
    <m/>
    <m/>
    <m/>
    <m/>
    <m/>
  </r>
  <r>
    <x v="0"/>
    <x v="4"/>
    <x v="0"/>
    <x v="0"/>
    <x v="22"/>
    <m/>
    <m/>
    <m/>
    <m/>
    <m/>
    <m/>
    <m/>
    <m/>
    <m/>
    <m/>
    <m/>
    <m/>
    <m/>
    <m/>
    <m/>
    <m/>
    <m/>
    <m/>
    <m/>
    <m/>
    <m/>
    <m/>
    <m/>
    <m/>
    <m/>
    <m/>
    <m/>
    <m/>
    <m/>
    <m/>
    <m/>
    <m/>
    <m/>
    <m/>
    <m/>
    <m/>
    <m/>
    <m/>
    <m/>
    <m/>
    <m/>
    <m/>
    <m/>
    <m/>
    <m/>
    <m/>
    <m/>
    <m/>
    <m/>
    <m/>
    <m/>
    <m/>
    <m/>
  </r>
  <r>
    <x v="0"/>
    <x v="4"/>
    <x v="6"/>
    <x v="0"/>
    <x v="23"/>
    <s v="Enabling program"/>
    <s v="Province"/>
    <m/>
    <m/>
    <m/>
    <m/>
    <m/>
    <m/>
    <m/>
    <m/>
    <m/>
    <m/>
    <m/>
    <m/>
    <m/>
    <m/>
    <m/>
    <m/>
    <m/>
    <m/>
    <m/>
    <m/>
    <m/>
    <m/>
    <m/>
    <m/>
    <m/>
    <m/>
    <m/>
    <m/>
    <m/>
    <m/>
    <m/>
    <m/>
    <m/>
    <m/>
    <m/>
    <m/>
    <m/>
    <m/>
    <m/>
    <m/>
    <m/>
    <m/>
    <m/>
    <m/>
    <m/>
    <m/>
    <m/>
    <m/>
    <m/>
    <m/>
    <m/>
  </r>
  <r>
    <x v="0"/>
    <x v="4"/>
    <x v="6"/>
    <x v="16"/>
    <x v="24"/>
    <s v="Enabling program"/>
    <s v="Social Forestry in priority villages"/>
    <n v="66475"/>
    <n v="25443"/>
    <n v="7258"/>
    <n v="500"/>
    <n v="215"/>
    <n v="3928"/>
    <n v="508"/>
    <n v="5"/>
    <n v="1786"/>
    <n v="528"/>
    <n v="4.1278769031227909E-2"/>
    <n v="4.9054990519105349E-2"/>
    <n v="4.9054990519105349E-2"/>
    <n v="4.1278769031227909E-2"/>
    <n v="0.30173505566504666"/>
    <n v="1.047412096026603E-2"/>
    <n v="0"/>
    <n v="1.047412096026603E-2"/>
    <n v="2.0318608039790124E-2"/>
    <n v="1.6680284035027977E-2"/>
    <n v="1.444756916092977E-3"/>
    <n v="1.7169246681686874E-3"/>
    <n v="1.7169246681686874E-3"/>
    <n v="1.444756916092977E-3"/>
    <n v="1.0560726948276634E-2"/>
    <n v="3.6659423360931107E-4"/>
    <n v="0"/>
    <n v="3.6659423360931107E-4"/>
    <n v="7.1115128139265444E-4"/>
    <n v="5.8380994122597923E-4"/>
    <n v="96.040215997280654"/>
    <n v="43.683714332215914"/>
    <n v="12.461439241568334"/>
    <n v="0.72237845804648848"/>
    <n v="2.2705562938794763"/>
    <n v="1.4399821496173739"/>
    <n v="0"/>
    <n v="1.8329711680465555E-3"/>
    <n v="1.2701161885672809"/>
    <n v="0.30825164896731705"/>
    <n v="35734.568440908544"/>
    <n v="1647.6604932054261"/>
    <n v="6343.0373987264265"/>
    <n v="36.355863036563676"/>
    <n v="110.80314714131843"/>
    <n v="299.36085116536344"/>
    <n v="0"/>
    <n v="7.5885006357127388E-2"/>
    <n v="454.96472148120188"/>
    <n v="12.884685402857361"/>
    <n v="44639.711486074062"/>
  </r>
  <r>
    <x v="0"/>
    <x v="4"/>
    <x v="6"/>
    <x v="17"/>
    <x v="25"/>
    <s v="Enabling program"/>
    <s v="Social Forestry in priority villages"/>
    <n v="66475"/>
    <n v="25443"/>
    <n v="7258"/>
    <n v="500"/>
    <n v="215"/>
    <n v="3928"/>
    <n v="508"/>
    <n v="5"/>
    <n v="1786"/>
    <n v="528"/>
    <n v="4.1278769031227909E-2"/>
    <n v="4.9054990519105349E-2"/>
    <n v="4.9054990519105349E-2"/>
    <n v="4.1278769031227909E-2"/>
    <n v="0.30173505566504666"/>
    <n v="1.047412096026603E-2"/>
    <n v="0"/>
    <n v="1.047412096026603E-2"/>
    <n v="2.0318608039790124E-2"/>
    <n v="1.6680284035027977E-2"/>
    <n v="1.444756916092977E-3"/>
    <n v="1.7169246681686874E-3"/>
    <n v="1.7169246681686874E-3"/>
    <n v="1.444756916092977E-3"/>
    <n v="1.0560726948276634E-2"/>
    <n v="3.6659423360931107E-4"/>
    <n v="0"/>
    <n v="3.6659423360931107E-4"/>
    <n v="7.1115128139265444E-4"/>
    <n v="5.8380994122597923E-4"/>
    <n v="96.040215997280654"/>
    <n v="43.683714332215914"/>
    <n v="12.461439241568334"/>
    <n v="0.72237845804648848"/>
    <n v="2.2705562938794763"/>
    <n v="1.4399821496173739"/>
    <n v="0"/>
    <n v="1.8329711680465555E-3"/>
    <n v="1.2701161885672809"/>
    <n v="0.30825164896731705"/>
    <n v="35734.568440908544"/>
    <n v="1647.6604932054261"/>
    <n v="6343.0373987264265"/>
    <n v="36.355863036563676"/>
    <n v="110.80314714131843"/>
    <n v="299.36085116536344"/>
    <n v="0"/>
    <n v="7.5885006357127388E-2"/>
    <n v="454.96472148120188"/>
    <n v="12.884685402857361"/>
    <n v="44639.711486074062"/>
  </r>
  <r>
    <x v="1"/>
    <x v="0"/>
    <x v="0"/>
    <x v="0"/>
    <x v="0"/>
    <m/>
    <m/>
    <m/>
    <m/>
    <m/>
    <m/>
    <m/>
    <m/>
    <m/>
    <m/>
    <m/>
    <m/>
    <m/>
    <m/>
    <m/>
    <m/>
    <m/>
    <m/>
    <m/>
    <m/>
    <m/>
    <m/>
    <m/>
    <m/>
    <m/>
    <m/>
    <m/>
    <m/>
    <m/>
    <m/>
    <m/>
    <m/>
    <m/>
    <m/>
    <m/>
    <m/>
    <m/>
    <m/>
    <m/>
    <m/>
    <m/>
    <m/>
    <m/>
    <m/>
    <m/>
    <m/>
    <m/>
    <m/>
    <m/>
    <m/>
    <m/>
    <m/>
    <m/>
  </r>
  <r>
    <x v="1"/>
    <x v="5"/>
    <x v="0"/>
    <x v="0"/>
    <x v="26"/>
    <m/>
    <m/>
    <m/>
    <m/>
    <m/>
    <m/>
    <m/>
    <m/>
    <m/>
    <m/>
    <m/>
    <m/>
    <m/>
    <m/>
    <m/>
    <m/>
    <m/>
    <m/>
    <m/>
    <m/>
    <m/>
    <m/>
    <m/>
    <m/>
    <m/>
    <m/>
    <m/>
    <m/>
    <m/>
    <m/>
    <m/>
    <m/>
    <m/>
    <m/>
    <m/>
    <m/>
    <m/>
    <m/>
    <m/>
    <m/>
    <m/>
    <m/>
    <m/>
    <m/>
    <m/>
    <m/>
    <m/>
    <m/>
    <m/>
    <m/>
    <m/>
    <m/>
    <m/>
  </r>
  <r>
    <x v="1"/>
    <x v="5"/>
    <x v="7"/>
    <x v="18"/>
    <x v="27"/>
    <s v="Enabling program"/>
    <s v="Priority districts"/>
    <n v="66475"/>
    <n v="25443"/>
    <n v="7258"/>
    <n v="500"/>
    <n v="215"/>
    <n v="3928"/>
    <n v="508"/>
    <n v="5"/>
    <n v="1786"/>
    <n v="528"/>
    <n v="0.81728319627446899"/>
    <n v="0.7830246708410511"/>
    <n v="0.7830246708410511"/>
    <n v="0.81728319627446899"/>
    <n v="0.78695170947819271"/>
    <n v="0.86006671184589323"/>
    <n v="0"/>
    <n v="0.86006671184589323"/>
    <n v="0.77250477095755521"/>
    <n v="0.75074731289911101"/>
    <n v="2.8604911869606418E-2"/>
    <n v="2.7405863479436791E-2"/>
    <n v="2.7405863479436791E-2"/>
    <n v="2.8604911869606418E-2"/>
    <n v="2.7543309831736747E-2"/>
    <n v="3.0102334914606267E-2"/>
    <n v="0"/>
    <n v="3.0102334914606267E-2"/>
    <n v="2.7037666983514435E-2"/>
    <n v="2.6276155951468889E-2"/>
    <n v="1901.5115165320867"/>
    <n v="697.28738450731032"/>
    <n v="198.91175713375222"/>
    <n v="14.302455934803209"/>
    <n v="5.9218116138234009"/>
    <n v="118.24197154457342"/>
    <n v="0"/>
    <n v="0.15051167457303133"/>
    <n v="48.289273232556781"/>
    <n v="13.873810342375574"/>
    <n v="707512.91761584161"/>
    <n v="26300.256134949352"/>
    <n v="101248.7153439739"/>
    <n v="719.81400228677592"/>
    <n v="288.98440675458193"/>
    <n v="24581.566691267479"/>
    <n v="0"/>
    <n v="6.2311833273234969"/>
    <n v="17297.563754039227"/>
    <n v="579.91476184891837"/>
    <n v="878535.96389428922"/>
  </r>
  <r>
    <x v="1"/>
    <x v="5"/>
    <x v="7"/>
    <x v="18"/>
    <x v="28"/>
    <m/>
    <m/>
    <m/>
    <m/>
    <m/>
    <m/>
    <m/>
    <m/>
    <m/>
    <m/>
    <m/>
    <m/>
    <m/>
    <m/>
    <m/>
    <m/>
    <m/>
    <m/>
    <m/>
    <m/>
    <m/>
    <m/>
    <m/>
    <m/>
    <m/>
    <m/>
    <m/>
    <m/>
    <m/>
    <m/>
    <m/>
    <m/>
    <m/>
    <m/>
    <m/>
    <m/>
    <m/>
    <m/>
    <m/>
    <m/>
    <m/>
    <m/>
    <m/>
    <m/>
    <m/>
    <m/>
    <m/>
    <m/>
    <m/>
    <m/>
    <m/>
    <m/>
    <m/>
  </r>
  <r>
    <x v="1"/>
    <x v="5"/>
    <x v="8"/>
    <x v="0"/>
    <x v="29"/>
    <s v="Enabling program"/>
    <s v="Priority villages"/>
    <m/>
    <m/>
    <m/>
    <m/>
    <m/>
    <m/>
    <m/>
    <m/>
    <m/>
    <m/>
    <m/>
    <m/>
    <m/>
    <m/>
    <m/>
    <m/>
    <m/>
    <m/>
    <m/>
    <m/>
    <m/>
    <m/>
    <m/>
    <m/>
    <m/>
    <m/>
    <m/>
    <m/>
    <m/>
    <m/>
    <m/>
    <m/>
    <m/>
    <m/>
    <m/>
    <m/>
    <m/>
    <m/>
    <m/>
    <m/>
    <m/>
    <m/>
    <m/>
    <m/>
    <m/>
    <m/>
    <m/>
    <m/>
    <m/>
    <m/>
    <m/>
  </r>
  <r>
    <x v="1"/>
    <x v="5"/>
    <x v="8"/>
    <x v="19"/>
    <x v="30"/>
    <s v="Direct mitigation2"/>
    <s v="Priority districts"/>
    <n v="66475"/>
    <n v="25443"/>
    <n v="7258"/>
    <n v="500"/>
    <n v="215"/>
    <n v="3928"/>
    <n v="508"/>
    <n v="5"/>
    <n v="1786"/>
    <n v="528"/>
    <n v="0.81728319627446899"/>
    <n v="0.7830246708410511"/>
    <n v="0.7830246708410511"/>
    <n v="0.81728319627446899"/>
    <n v="0.78695170947819271"/>
    <n v="0.86006671184589323"/>
    <n v="0"/>
    <n v="0.86006671184589323"/>
    <n v="0.77250477095755521"/>
    <n v="0.75074731289911101"/>
    <n v="2.9999745242791986E-2"/>
    <n v="2.8742228827330168E-2"/>
    <n v="2.8742228827330168E-2"/>
    <n v="2.9999745242791986E-2"/>
    <n v="2.8886377341835152E-2"/>
    <n v="3.1570185664893495E-2"/>
    <n v="0"/>
    <n v="3.1570185664893495E-2"/>
    <n v="2.8356078325370543E-2"/>
    <n v="2.7557434474794109E-2"/>
    <n v="1994.2330650145973"/>
    <n v="731.28852805376141"/>
    <n v="208.61109682876236"/>
    <n v="14.999872621395992"/>
    <n v="6.2105711284945579"/>
    <n v="124.00768929170165"/>
    <n v="0"/>
    <n v="0.15785092832446748"/>
    <n v="50.643955889111787"/>
    <n v="14.550325402691289"/>
    <n v="742012.67884387868"/>
    <n v="27582.709831978009"/>
    <n v="106185.80753980747"/>
    <n v="754.91358928961756"/>
    <n v="303.07587107053439"/>
    <n v="25780.21361395203"/>
    <n v="0"/>
    <n v="6.535028432632954"/>
    <n v="18141.027957282407"/>
    <n v="608.19257885870593"/>
    <n v="921375.15485455003"/>
  </r>
  <r>
    <x v="1"/>
    <x v="5"/>
    <x v="8"/>
    <x v="20"/>
    <x v="31"/>
    <s v="Enabling program"/>
    <s v="Priority villages"/>
    <n v="66475"/>
    <n v="25443"/>
    <n v="7258"/>
    <n v="500"/>
    <n v="215"/>
    <n v="3928"/>
    <n v="508"/>
    <n v="5"/>
    <n v="1786"/>
    <n v="528"/>
    <n v="0.69570923014441111"/>
    <n v="0.55195016569647226"/>
    <n v="0.55195016569647226"/>
    <n v="0.69570923014441111"/>
    <n v="0.63961834455866451"/>
    <n v="0.85291267082773314"/>
    <n v="0"/>
    <n v="0.85291267082773314"/>
    <n v="0.19276739080959265"/>
    <n v="0.23775707599687529"/>
    <n v="2.4349823055054391E-2"/>
    <n v="1.931825579937653E-2"/>
    <n v="1.931825579937653E-2"/>
    <n v="2.4349823055054391E-2"/>
    <n v="2.238664205955326E-2"/>
    <n v="2.9851943478970664E-2"/>
    <n v="0"/>
    <n v="2.9851943478970664E-2"/>
    <n v="6.7468586783357432E-3"/>
    <n v="8.3214976598906358E-3"/>
    <n v="1618.6544875847408"/>
    <n v="491.51438230353705"/>
    <n v="140.21190059187487"/>
    <n v="12.174911527527195"/>
    <n v="4.8131280428039505"/>
    <n v="117.25843398539676"/>
    <n v="0"/>
    <n v="0.14925971739485333"/>
    <n v="12.049889599507637"/>
    <n v="4.393750764422256"/>
    <n v="602267.69554973149"/>
    <n v="18538.918723918079"/>
    <n v="71369.711953821054"/>
    <n v="612.73894735738872"/>
    <n v="234.88064848883278"/>
    <n v="24377.097044927443"/>
    <n v="0"/>
    <n v="6.1793523001469275"/>
    <n v="4316.3568143347184"/>
    <n v="183.65545335378633"/>
    <n v="721907.23448823288"/>
  </r>
  <r>
    <x v="1"/>
    <x v="5"/>
    <x v="8"/>
    <x v="21"/>
    <x v="32"/>
    <s v="Enabling program"/>
    <s v="Priority villages"/>
    <n v="66475"/>
    <n v="25443"/>
    <n v="7258"/>
    <n v="500"/>
    <n v="215"/>
    <n v="3928"/>
    <n v="508"/>
    <n v="5"/>
    <n v="1786"/>
    <n v="528"/>
    <n v="0.69570923014441111"/>
    <n v="0.55195016569647226"/>
    <n v="0.55195016569647226"/>
    <n v="0.69570923014441111"/>
    <n v="0.63961834455866451"/>
    <n v="0.85291267082773314"/>
    <n v="0"/>
    <n v="0.85291267082773314"/>
    <n v="0.19276739080959265"/>
    <n v="0.23775707599687529"/>
    <n v="2.4349823055054391E-2"/>
    <n v="1.931825579937653E-2"/>
    <n v="1.931825579937653E-2"/>
    <n v="2.4349823055054391E-2"/>
    <n v="2.238664205955326E-2"/>
    <n v="2.9851943478970664E-2"/>
    <n v="0"/>
    <n v="2.9851943478970664E-2"/>
    <n v="6.7468586783357432E-3"/>
    <n v="8.3214976598906358E-3"/>
    <n v="1618.6544875847408"/>
    <n v="491.51438230353705"/>
    <n v="140.21190059187487"/>
    <n v="12.174911527527195"/>
    <n v="4.8131280428039505"/>
    <n v="117.25843398539676"/>
    <n v="0"/>
    <n v="0.14925971739485333"/>
    <n v="12.049889599507637"/>
    <n v="4.393750764422256"/>
    <n v="602267.69554973149"/>
    <n v="18538.918723918079"/>
    <n v="71369.711953821054"/>
    <n v="612.73894735738872"/>
    <n v="234.88064848883278"/>
    <n v="24377.097044927443"/>
    <n v="0"/>
    <n v="6.1793523001469275"/>
    <n v="4316.3568143347184"/>
    <n v="183.65545335378633"/>
    <n v="721907.23448823288"/>
  </r>
  <r>
    <x v="1"/>
    <x v="5"/>
    <x v="9"/>
    <x v="0"/>
    <x v="33"/>
    <s v="Enabling program"/>
    <s v="Priority villages"/>
    <m/>
    <m/>
    <m/>
    <m/>
    <m/>
    <m/>
    <m/>
    <m/>
    <m/>
    <m/>
    <m/>
    <m/>
    <m/>
    <m/>
    <m/>
    <m/>
    <m/>
    <m/>
    <m/>
    <m/>
    <m/>
    <m/>
    <m/>
    <m/>
    <m/>
    <m/>
    <m/>
    <m/>
    <m/>
    <m/>
    <m/>
    <m/>
    <m/>
    <m/>
    <m/>
    <m/>
    <m/>
    <m/>
    <m/>
    <m/>
    <m/>
    <m/>
    <m/>
    <m/>
    <m/>
    <m/>
    <m/>
    <m/>
    <m/>
    <m/>
    <m/>
  </r>
  <r>
    <x v="1"/>
    <x v="5"/>
    <x v="9"/>
    <x v="22"/>
    <x v="34"/>
    <s v="Enabling program"/>
    <s v="Priority villages"/>
    <n v="66475"/>
    <n v="25443"/>
    <n v="7258"/>
    <n v="500"/>
    <n v="215"/>
    <n v="3928"/>
    <n v="508"/>
    <n v="5"/>
    <n v="1786"/>
    <n v="528"/>
    <n v="0.69570923014441111"/>
    <n v="0.55195016569647226"/>
    <n v="0.55195016569647226"/>
    <n v="0.69570923014441111"/>
    <n v="0.63961834455866451"/>
    <n v="0.85291267082773314"/>
    <n v="0"/>
    <n v="0.85291267082773314"/>
    <n v="0.19276739080959265"/>
    <n v="0.23775707599687529"/>
    <n v="2.4349823055054391E-2"/>
    <n v="1.931825579937653E-2"/>
    <n v="1.931825579937653E-2"/>
    <n v="2.4349823055054391E-2"/>
    <n v="2.238664205955326E-2"/>
    <n v="2.9851943478970664E-2"/>
    <n v="0"/>
    <n v="2.9851943478970664E-2"/>
    <n v="6.7468586783357432E-3"/>
    <n v="8.3214976598906358E-3"/>
    <n v="1618.6544875847408"/>
    <n v="491.51438230353705"/>
    <n v="140.21190059187487"/>
    <n v="12.174911527527195"/>
    <n v="4.8131280428039505"/>
    <n v="117.25843398539676"/>
    <n v="0"/>
    <n v="0.14925971739485333"/>
    <n v="12.049889599507637"/>
    <n v="4.393750764422256"/>
    <n v="602267.69554973149"/>
    <n v="18538.918723918079"/>
    <n v="71369.711953821054"/>
    <n v="612.73894735738872"/>
    <n v="234.88064848883278"/>
    <n v="24377.097044927443"/>
    <n v="0"/>
    <n v="6.1793523001469275"/>
    <n v="4316.3568143347184"/>
    <n v="183.65545335378633"/>
    <n v="721907.23448823288"/>
  </r>
  <r>
    <x v="1"/>
    <x v="5"/>
    <x v="10"/>
    <x v="0"/>
    <x v="35"/>
    <m/>
    <m/>
    <m/>
    <m/>
    <m/>
    <m/>
    <m/>
    <m/>
    <m/>
    <m/>
    <m/>
    <m/>
    <m/>
    <m/>
    <m/>
    <m/>
    <m/>
    <m/>
    <m/>
    <m/>
    <m/>
    <m/>
    <m/>
    <m/>
    <m/>
    <m/>
    <m/>
    <m/>
    <m/>
    <m/>
    <m/>
    <m/>
    <m/>
    <m/>
    <m/>
    <m/>
    <m/>
    <m/>
    <m/>
    <m/>
    <m/>
    <m/>
    <m/>
    <m/>
    <m/>
    <m/>
    <m/>
    <m/>
    <m/>
    <m/>
    <m/>
    <m/>
    <m/>
  </r>
  <r>
    <x v="1"/>
    <x v="5"/>
    <x v="10"/>
    <x v="23"/>
    <x v="35"/>
    <m/>
    <m/>
    <m/>
    <m/>
    <m/>
    <m/>
    <m/>
    <m/>
    <m/>
    <m/>
    <m/>
    <m/>
    <m/>
    <m/>
    <m/>
    <m/>
    <m/>
    <m/>
    <m/>
    <m/>
    <m/>
    <m/>
    <m/>
    <m/>
    <m/>
    <m/>
    <m/>
    <m/>
    <m/>
    <m/>
    <m/>
    <m/>
    <m/>
    <m/>
    <m/>
    <m/>
    <m/>
    <m/>
    <m/>
    <m/>
    <m/>
    <m/>
    <m/>
    <m/>
    <m/>
    <m/>
    <m/>
    <m/>
    <m/>
    <m/>
    <m/>
    <m/>
    <m/>
  </r>
  <r>
    <x v="1"/>
    <x v="5"/>
    <x v="11"/>
    <x v="0"/>
    <x v="36"/>
    <m/>
    <m/>
    <m/>
    <m/>
    <m/>
    <m/>
    <m/>
    <m/>
    <m/>
    <m/>
    <m/>
    <m/>
    <m/>
    <m/>
    <m/>
    <m/>
    <m/>
    <m/>
    <m/>
    <m/>
    <m/>
    <m/>
    <m/>
    <m/>
    <m/>
    <m/>
    <m/>
    <m/>
    <m/>
    <m/>
    <m/>
    <m/>
    <m/>
    <m/>
    <m/>
    <m/>
    <m/>
    <m/>
    <m/>
    <m/>
    <m/>
    <m/>
    <m/>
    <m/>
    <m/>
    <m/>
    <m/>
    <m/>
    <m/>
    <m/>
    <m/>
    <m/>
    <m/>
  </r>
  <r>
    <x v="1"/>
    <x v="5"/>
    <x v="11"/>
    <x v="24"/>
    <x v="37"/>
    <m/>
    <m/>
    <m/>
    <m/>
    <m/>
    <m/>
    <m/>
    <m/>
    <m/>
    <m/>
    <m/>
    <m/>
    <m/>
    <m/>
    <m/>
    <m/>
    <m/>
    <m/>
    <m/>
    <m/>
    <m/>
    <m/>
    <m/>
    <m/>
    <m/>
    <m/>
    <m/>
    <m/>
    <m/>
    <m/>
    <m/>
    <m/>
    <m/>
    <m/>
    <m/>
    <m/>
    <m/>
    <m/>
    <m/>
    <m/>
    <m/>
    <m/>
    <m/>
    <m/>
    <m/>
    <m/>
    <m/>
    <m/>
    <m/>
    <m/>
    <m/>
    <m/>
    <m/>
  </r>
  <r>
    <x v="1"/>
    <x v="5"/>
    <x v="11"/>
    <x v="25"/>
    <x v="38"/>
    <m/>
    <m/>
    <m/>
    <m/>
    <m/>
    <m/>
    <m/>
    <m/>
    <m/>
    <m/>
    <m/>
    <m/>
    <m/>
    <m/>
    <m/>
    <m/>
    <m/>
    <m/>
    <m/>
    <m/>
    <m/>
    <m/>
    <m/>
    <m/>
    <m/>
    <m/>
    <m/>
    <m/>
    <m/>
    <m/>
    <m/>
    <m/>
    <m/>
    <m/>
    <m/>
    <m/>
    <m/>
    <m/>
    <m/>
    <m/>
    <m/>
    <m/>
    <m/>
    <m/>
    <m/>
    <m/>
    <m/>
    <m/>
    <m/>
    <m/>
    <m/>
    <m/>
    <m/>
  </r>
  <r>
    <x v="1"/>
    <x v="5"/>
    <x v="11"/>
    <x v="26"/>
    <x v="39"/>
    <m/>
    <m/>
    <m/>
    <m/>
    <m/>
    <m/>
    <m/>
    <m/>
    <m/>
    <m/>
    <m/>
    <m/>
    <m/>
    <m/>
    <m/>
    <m/>
    <m/>
    <m/>
    <m/>
    <m/>
    <m/>
    <m/>
    <m/>
    <m/>
    <m/>
    <m/>
    <m/>
    <m/>
    <m/>
    <m/>
    <m/>
    <m/>
    <m/>
    <m/>
    <m/>
    <m/>
    <m/>
    <m/>
    <m/>
    <m/>
    <m/>
    <m/>
    <m/>
    <m/>
    <m/>
    <m/>
    <m/>
    <m/>
    <m/>
    <m/>
    <m/>
    <m/>
    <m/>
  </r>
  <r>
    <x v="1"/>
    <x v="5"/>
    <x v="11"/>
    <x v="27"/>
    <x v="40"/>
    <m/>
    <m/>
    <m/>
    <m/>
    <m/>
    <m/>
    <m/>
    <m/>
    <m/>
    <m/>
    <m/>
    <m/>
    <m/>
    <m/>
    <m/>
    <m/>
    <m/>
    <m/>
    <m/>
    <m/>
    <m/>
    <m/>
    <m/>
    <m/>
    <m/>
    <m/>
    <m/>
    <m/>
    <m/>
    <m/>
    <m/>
    <m/>
    <m/>
    <m/>
    <m/>
    <m/>
    <m/>
    <m/>
    <m/>
    <m/>
    <m/>
    <m/>
    <m/>
    <m/>
    <m/>
    <m/>
    <m/>
    <m/>
    <m/>
    <m/>
    <m/>
    <m/>
    <m/>
  </r>
  <r>
    <x v="1"/>
    <x v="5"/>
    <x v="11"/>
    <x v="28"/>
    <x v="41"/>
    <m/>
    <m/>
    <m/>
    <m/>
    <m/>
    <m/>
    <m/>
    <m/>
    <m/>
    <m/>
    <m/>
    <m/>
    <m/>
    <m/>
    <m/>
    <m/>
    <m/>
    <m/>
    <m/>
    <m/>
    <m/>
    <m/>
    <m/>
    <m/>
    <m/>
    <m/>
    <m/>
    <m/>
    <m/>
    <m/>
    <m/>
    <m/>
    <m/>
    <m/>
    <m/>
    <m/>
    <m/>
    <m/>
    <m/>
    <m/>
    <m/>
    <m/>
    <m/>
    <m/>
    <m/>
    <m/>
    <m/>
    <m/>
    <m/>
    <m/>
    <m/>
    <m/>
    <m/>
  </r>
  <r>
    <x v="1"/>
    <x v="5"/>
    <x v="11"/>
    <x v="29"/>
    <x v="42"/>
    <m/>
    <m/>
    <m/>
    <m/>
    <m/>
    <m/>
    <m/>
    <m/>
    <m/>
    <m/>
    <m/>
    <m/>
    <m/>
    <m/>
    <m/>
    <m/>
    <m/>
    <m/>
    <m/>
    <m/>
    <m/>
    <m/>
    <m/>
    <m/>
    <m/>
    <m/>
    <m/>
    <m/>
    <m/>
    <m/>
    <m/>
    <m/>
    <m/>
    <m/>
    <m/>
    <m/>
    <m/>
    <m/>
    <m/>
    <m/>
    <m/>
    <m/>
    <m/>
    <m/>
    <m/>
    <m/>
    <m/>
    <m/>
    <m/>
    <m/>
    <m/>
    <m/>
    <m/>
  </r>
  <r>
    <x v="2"/>
    <x v="6"/>
    <x v="0"/>
    <x v="0"/>
    <x v="43"/>
    <m/>
    <m/>
    <m/>
    <m/>
    <m/>
    <m/>
    <m/>
    <m/>
    <m/>
    <m/>
    <m/>
    <m/>
    <m/>
    <m/>
    <m/>
    <m/>
    <m/>
    <m/>
    <m/>
    <m/>
    <m/>
    <m/>
    <m/>
    <m/>
    <m/>
    <m/>
    <m/>
    <m/>
    <m/>
    <m/>
    <m/>
    <m/>
    <m/>
    <m/>
    <m/>
    <m/>
    <m/>
    <m/>
    <m/>
    <m/>
    <m/>
    <m/>
    <m/>
    <m/>
    <m/>
    <m/>
    <m/>
    <m/>
    <m/>
    <m/>
    <m/>
    <m/>
    <m/>
  </r>
  <r>
    <x v="2"/>
    <x v="6"/>
    <x v="12"/>
    <x v="0"/>
    <x v="44"/>
    <s v="Enabling program"/>
    <s v="FMUs of Priority Districts"/>
    <m/>
    <m/>
    <m/>
    <m/>
    <m/>
    <m/>
    <m/>
    <m/>
    <m/>
    <m/>
    <m/>
    <m/>
    <m/>
    <m/>
    <m/>
    <m/>
    <m/>
    <m/>
    <m/>
    <m/>
    <m/>
    <m/>
    <m/>
    <m/>
    <m/>
    <m/>
    <m/>
    <m/>
    <m/>
    <m/>
    <m/>
    <m/>
    <m/>
    <m/>
    <m/>
    <m/>
    <m/>
    <m/>
    <m/>
    <m/>
    <m/>
    <m/>
    <m/>
    <m/>
    <m/>
    <m/>
    <m/>
    <m/>
    <m/>
    <m/>
    <m/>
  </r>
  <r>
    <x v="2"/>
    <x v="6"/>
    <x v="12"/>
    <x v="30"/>
    <x v="45"/>
    <s v="Enabling program"/>
    <s v="FMUs of Priority Districts"/>
    <n v="66475"/>
    <n v="25443"/>
    <n v="7258"/>
    <n v="500"/>
    <n v="215"/>
    <n v="3928"/>
    <n v="508"/>
    <n v="5"/>
    <n v="1786"/>
    <n v="528"/>
    <n v="0.56795741915643094"/>
    <n v="0.533940445400786"/>
    <n v="0.533940445400786"/>
    <n v="0.56795741915643094"/>
    <n v="0.6837284230655426"/>
    <n v="0.46493674275751751"/>
    <n v="0"/>
    <n v="0.46493674275751751"/>
    <n v="0.33170384438737244"/>
    <n v="0.16772301880352328"/>
    <n v="1.9878509670475084E-2"/>
    <n v="1.868791558902751E-2"/>
    <n v="1.868791558902751E-2"/>
    <n v="1.9878509670475084E-2"/>
    <n v="2.3930494807293992E-2"/>
    <n v="1.6272785996513113E-2"/>
    <n v="0"/>
    <n v="1.6272785996513113E-2"/>
    <n v="1.1609634553558037E-2"/>
    <n v="5.8703056581233155E-3"/>
    <n v="1321.4239303448312"/>
    <n v="475.47663633162693"/>
    <n v="135.63689134516167"/>
    <n v="9.9392548352375414"/>
    <n v="5.1450563835682086"/>
    <n v="63.919503394303511"/>
    <n v="0"/>
    <n v="8.1363929982565558E-2"/>
    <n v="20.734807312654652"/>
    <n v="3.0995213874891108"/>
    <n v="491674.3823202019"/>
    <n v="17934.007698334961"/>
    <n v="69040.971734583843"/>
    <n v="500.22281734783502"/>
    <n v="251.07875151812857"/>
    <n v="13288.357044752609"/>
    <n v="0"/>
    <n v="3.3684667012782139"/>
    <n v="7427.3565827151824"/>
    <n v="129.55764587478157"/>
    <n v="600249.30306203058"/>
  </r>
  <r>
    <x v="2"/>
    <x v="6"/>
    <x v="12"/>
    <x v="31"/>
    <x v="46"/>
    <s v="Enabling program"/>
    <s v="FMUs of Priority Districts"/>
    <n v="66475"/>
    <n v="25443"/>
    <n v="7258"/>
    <n v="500"/>
    <n v="215"/>
    <n v="3928"/>
    <n v="508"/>
    <n v="5"/>
    <n v="1786"/>
    <n v="528"/>
    <n v="0.56795741915643094"/>
    <n v="0.533940445400786"/>
    <n v="0.533940445400786"/>
    <n v="0.56795741915643094"/>
    <n v="0.6837284230655426"/>
    <n v="0.46493674275751751"/>
    <n v="0"/>
    <n v="0.46493674275751751"/>
    <n v="0.33170384438737244"/>
    <n v="0.16772301880352328"/>
    <n v="1.9878509670475084E-2"/>
    <n v="1.868791558902751E-2"/>
    <n v="1.868791558902751E-2"/>
    <n v="1.9878509670475084E-2"/>
    <n v="2.3930494807293992E-2"/>
    <n v="1.6272785996513113E-2"/>
    <n v="0"/>
    <n v="1.6272785996513113E-2"/>
    <n v="1.1609634553558037E-2"/>
    <n v="5.8703056581233155E-3"/>
    <n v="1321.4239303448312"/>
    <n v="475.47663633162693"/>
    <n v="135.63689134516167"/>
    <n v="9.9392548352375414"/>
    <n v="5.1450563835682086"/>
    <n v="63.919503394303511"/>
    <n v="0"/>
    <n v="8.1363929982565558E-2"/>
    <n v="20.734807312654652"/>
    <n v="3.0995213874891108"/>
    <n v="491674.3823202019"/>
    <n v="17934.007698334961"/>
    <n v="69040.971734583843"/>
    <n v="500.22281734783502"/>
    <n v="251.07875151812857"/>
    <n v="13288.357044752609"/>
    <n v="0"/>
    <n v="3.3684667012782139"/>
    <n v="7427.3565827151824"/>
    <n v="129.55764587478157"/>
    <n v="600249.30306203058"/>
  </r>
  <r>
    <x v="2"/>
    <x v="6"/>
    <x v="12"/>
    <x v="32"/>
    <x v="47"/>
    <s v="Enabling program"/>
    <s v="FMUs of Priority Districts"/>
    <n v="66475"/>
    <n v="25443"/>
    <n v="7258"/>
    <n v="500"/>
    <n v="215"/>
    <n v="3928"/>
    <n v="508"/>
    <n v="5"/>
    <n v="1786"/>
    <n v="528"/>
    <n v="0.56795741915643094"/>
    <n v="0.533940445400786"/>
    <n v="0.533940445400786"/>
    <n v="0.56795741915643094"/>
    <n v="0.6837284230655426"/>
    <n v="0.46493674275751751"/>
    <n v="0"/>
    <n v="0.46493674275751751"/>
    <n v="0.33170384438737244"/>
    <n v="0.16772301880352328"/>
    <n v="1.9878509670475084E-2"/>
    <n v="1.868791558902751E-2"/>
    <n v="1.868791558902751E-2"/>
    <n v="1.9878509670475084E-2"/>
    <n v="2.3930494807293992E-2"/>
    <n v="1.6272785996513113E-2"/>
    <n v="0"/>
    <n v="1.6272785996513113E-2"/>
    <n v="1.1609634553558037E-2"/>
    <n v="5.8703056581233155E-3"/>
    <n v="1321.4239303448312"/>
    <n v="475.47663633162693"/>
    <n v="135.63689134516167"/>
    <n v="9.9392548352375414"/>
    <n v="5.1450563835682086"/>
    <n v="63.919503394303511"/>
    <n v="0"/>
    <n v="8.1363929982565558E-2"/>
    <n v="20.734807312654652"/>
    <n v="3.0995213874891108"/>
    <n v="491674.3823202019"/>
    <n v="17934.007698334961"/>
    <n v="69040.971734583843"/>
    <n v="500.22281734783502"/>
    <n v="251.07875151812857"/>
    <n v="13288.357044752609"/>
    <n v="0"/>
    <n v="3.3684667012782139"/>
    <n v="7427.3565827151824"/>
    <n v="129.55764587478157"/>
    <n v="600249.30306203058"/>
  </r>
  <r>
    <x v="2"/>
    <x v="6"/>
    <x v="12"/>
    <x v="33"/>
    <x v="48"/>
    <s v="Direct mitigation3"/>
    <s v="FMUs of Priority Districts"/>
    <n v="66475"/>
    <n v="25443"/>
    <n v="7258"/>
    <n v="500"/>
    <n v="215"/>
    <n v="3928"/>
    <n v="508"/>
    <n v="5"/>
    <n v="1786"/>
    <n v="528"/>
    <n v="0.26971622008623608"/>
    <n v="0.1982994756570709"/>
    <n v="0.1982994756570709"/>
    <n v="0.26971622008623608"/>
    <n v="0.13065420585020121"/>
    <n v="0.37574188487837912"/>
    <n v="0"/>
    <n v="0.37574188487837912"/>
    <n v="0.10442856312845131"/>
    <n v="2.7345209391941527E-2"/>
    <n v="3.371452751077951E-2"/>
    <n v="2.4787434457133863E-2"/>
    <n v="2.4787434457133863E-2"/>
    <n v="3.371452751077951E-2"/>
    <n v="1.6331775731275151E-2"/>
    <n v="4.696773560979739E-2"/>
    <n v="0"/>
    <n v="4.696773560979739E-2"/>
    <n v="1.3053570391056413E-2"/>
    <n v="3.4181511739926908E-3"/>
    <n v="2241.1732162790681"/>
    <n v="630.66669489285687"/>
    <n v="179.90719928987758"/>
    <n v="16.857263755389756"/>
    <n v="3.5113317822241576"/>
    <n v="184.48926547528416"/>
    <n v="0"/>
    <n v="0.23483867804898695"/>
    <n v="23.313676718426755"/>
    <n v="1.8047838198681407"/>
    <n v="833893.97715768509"/>
    <n v="23787.459776264168"/>
    <n v="91575.144032255572"/>
    <n v="848.39237028125569"/>
    <n v="171.35299097253889"/>
    <n v="38353.852898960547"/>
    <n v="0"/>
    <n v="9.7223212712280596"/>
    <n v="8351.1260862414692"/>
    <n v="75.438596410018675"/>
    <n v="997066.46623034193"/>
  </r>
  <r>
    <x v="2"/>
    <x v="6"/>
    <x v="13"/>
    <x v="0"/>
    <x v="49"/>
    <m/>
    <m/>
    <m/>
    <m/>
    <m/>
    <m/>
    <m/>
    <m/>
    <m/>
    <m/>
    <m/>
    <m/>
    <m/>
    <m/>
    <m/>
    <m/>
    <m/>
    <m/>
    <m/>
    <m/>
    <m/>
    <m/>
    <m/>
    <m/>
    <m/>
    <m/>
    <m/>
    <m/>
    <m/>
    <m/>
    <m/>
    <m/>
    <m/>
    <m/>
    <m/>
    <m/>
    <m/>
    <m/>
    <m/>
    <m/>
    <m/>
    <m/>
    <m/>
    <m/>
    <m/>
    <m/>
    <m/>
    <m/>
    <m/>
    <m/>
    <m/>
    <m/>
    <m/>
  </r>
  <r>
    <x v="2"/>
    <x v="6"/>
    <x v="13"/>
    <x v="34"/>
    <x v="50"/>
    <m/>
    <m/>
    <m/>
    <m/>
    <m/>
    <m/>
    <m/>
    <m/>
    <m/>
    <m/>
    <m/>
    <m/>
    <m/>
    <m/>
    <m/>
    <m/>
    <m/>
    <m/>
    <m/>
    <m/>
    <m/>
    <m/>
    <m/>
    <m/>
    <m/>
    <m/>
    <m/>
    <m/>
    <m/>
    <m/>
    <m/>
    <m/>
    <m/>
    <m/>
    <m/>
    <m/>
    <m/>
    <m/>
    <m/>
    <m/>
    <m/>
    <m/>
    <m/>
    <m/>
    <m/>
    <m/>
    <m/>
    <m/>
    <m/>
    <m/>
    <m/>
    <m/>
    <m/>
  </r>
  <r>
    <x v="2"/>
    <x v="6"/>
    <x v="13"/>
    <x v="35"/>
    <x v="51"/>
    <m/>
    <m/>
    <m/>
    <m/>
    <m/>
    <m/>
    <m/>
    <m/>
    <m/>
    <m/>
    <m/>
    <m/>
    <m/>
    <m/>
    <m/>
    <m/>
    <m/>
    <m/>
    <m/>
    <m/>
    <m/>
    <m/>
    <m/>
    <m/>
    <m/>
    <m/>
    <m/>
    <m/>
    <m/>
    <m/>
    <m/>
    <m/>
    <m/>
    <m/>
    <m/>
    <m/>
    <m/>
    <m/>
    <m/>
    <m/>
    <m/>
    <m/>
    <m/>
    <m/>
    <m/>
    <m/>
    <m/>
    <m/>
    <m/>
    <m/>
    <m/>
    <m/>
    <m/>
  </r>
  <r>
    <x v="2"/>
    <x v="6"/>
    <x v="13"/>
    <x v="36"/>
    <x v="52"/>
    <m/>
    <m/>
    <m/>
    <m/>
    <m/>
    <m/>
    <m/>
    <m/>
    <m/>
    <m/>
    <m/>
    <m/>
    <m/>
    <m/>
    <m/>
    <m/>
    <m/>
    <m/>
    <m/>
    <m/>
    <m/>
    <m/>
    <m/>
    <m/>
    <m/>
    <m/>
    <m/>
    <m/>
    <m/>
    <m/>
    <m/>
    <m/>
    <m/>
    <m/>
    <m/>
    <m/>
    <m/>
    <m/>
    <m/>
    <m/>
    <m/>
    <m/>
    <m/>
    <m/>
    <m/>
    <m/>
    <m/>
    <m/>
    <m/>
    <m/>
    <m/>
    <m/>
    <m/>
  </r>
  <r>
    <x v="2"/>
    <x v="7"/>
    <x v="0"/>
    <x v="0"/>
    <x v="53"/>
    <m/>
    <m/>
    <m/>
    <m/>
    <m/>
    <m/>
    <m/>
    <m/>
    <m/>
    <m/>
    <m/>
    <m/>
    <m/>
    <m/>
    <m/>
    <m/>
    <m/>
    <m/>
    <m/>
    <m/>
    <m/>
    <m/>
    <m/>
    <m/>
    <m/>
    <m/>
    <m/>
    <m/>
    <m/>
    <m/>
    <m/>
    <m/>
    <m/>
    <m/>
    <m/>
    <m/>
    <m/>
    <m/>
    <m/>
    <m/>
    <m/>
    <m/>
    <m/>
    <m/>
    <m/>
    <m/>
    <m/>
    <m/>
    <m/>
    <m/>
    <m/>
    <m/>
    <m/>
  </r>
  <r>
    <x v="2"/>
    <x v="7"/>
    <x v="14"/>
    <x v="0"/>
    <x v="54"/>
    <s v="Enabling program"/>
    <s v="Community forests"/>
    <m/>
    <m/>
    <m/>
    <m/>
    <m/>
    <m/>
    <m/>
    <m/>
    <m/>
    <m/>
    <m/>
    <m/>
    <m/>
    <m/>
    <m/>
    <m/>
    <m/>
    <m/>
    <m/>
    <m/>
    <m/>
    <m/>
    <m/>
    <m/>
    <m/>
    <m/>
    <m/>
    <m/>
    <m/>
    <m/>
    <m/>
    <m/>
    <m/>
    <m/>
    <m/>
    <m/>
    <m/>
    <m/>
    <m/>
    <m/>
    <m/>
    <m/>
    <m/>
    <m/>
    <m/>
    <m/>
    <m/>
    <m/>
    <m/>
    <m/>
    <m/>
  </r>
  <r>
    <x v="2"/>
    <x v="7"/>
    <x v="14"/>
    <x v="37"/>
    <x v="55"/>
    <s v="Direct mitigation4"/>
    <s v="Community forests"/>
    <n v="66475"/>
    <n v="25443"/>
    <n v="7258"/>
    <n v="500"/>
    <n v="215"/>
    <n v="3928"/>
    <n v="508"/>
    <n v="5"/>
    <n v="1786"/>
    <n v="528"/>
    <n v="4.1278769031227909E-2"/>
    <n v="4.9054990519105349E-2"/>
    <n v="4.9054990519105349E-2"/>
    <n v="4.1278769031227909E-2"/>
    <n v="0.30173505566504666"/>
    <n v="1.047412096026603E-2"/>
    <n v="0"/>
    <n v="1.047412096026603E-2"/>
    <n v="2.0318608039790124E-2"/>
    <n v="1.6680284035027977E-2"/>
    <n v="1.8109723600443661E-2"/>
    <n v="2.1521289039683266E-2"/>
    <n v="2.1521289039683266E-2"/>
    <n v="1.8109723600443661E-2"/>
    <n v="0.1323764876448868"/>
    <n v="4.5951814940153237E-3"/>
    <n v="0"/>
    <n v="4.5951814940153237E-3"/>
    <n v="8.9141315059075975E-3"/>
    <n v="7.3179346317891894E-3"/>
    <n v="1203.8438763394925"/>
    <n v="547.56615703666137"/>
    <n v="156.20151585002114"/>
    <n v="9.0548618002218308"/>
    <n v="28.460944843650662"/>
    <n v="18.049872908492191"/>
    <n v="0"/>
    <n v="2.297590747007662E-2"/>
    <n v="15.920638869550968"/>
    <n v="3.8638694855846922"/>
    <n v="447925.28780277108"/>
    <n v="20653.077197244362"/>
    <n v="79508.637611408572"/>
    <n v="455.71308468156434"/>
    <n v="1388.8941083701523"/>
    <n v="3752.4252080129131"/>
    <n v="0"/>
    <n v="0.95120256926117208"/>
    <n v="5702.8869439564323"/>
    <n v="161.5068173235874"/>
    <n v="559549.37997633812"/>
  </r>
  <r>
    <x v="2"/>
    <x v="7"/>
    <x v="14"/>
    <x v="38"/>
    <x v="56"/>
    <s v="Enabling program"/>
    <s v="Community forests"/>
    <n v="66475"/>
    <n v="25443"/>
    <n v="7258"/>
    <n v="500"/>
    <n v="215"/>
    <n v="3928"/>
    <n v="508"/>
    <n v="5"/>
    <n v="1786"/>
    <n v="528"/>
    <n v="4.1278769031227909E-2"/>
    <n v="4.9054990519105349E-2"/>
    <n v="4.9054990519105349E-2"/>
    <n v="4.1278769031227909E-2"/>
    <n v="0.30173505566504666"/>
    <n v="1.047412096026603E-2"/>
    <n v="0"/>
    <n v="1.047412096026603E-2"/>
    <n v="2.0318608039790124E-2"/>
    <n v="1.6680284035027977E-2"/>
    <n v="1.444756916092977E-3"/>
    <n v="1.7169246681686874E-3"/>
    <n v="1.7169246681686874E-3"/>
    <n v="1.444756916092977E-3"/>
    <n v="1.0560726948276634E-2"/>
    <n v="3.6659423360931107E-4"/>
    <n v="0"/>
    <n v="3.6659423360931107E-4"/>
    <n v="7.1115128139265444E-4"/>
    <n v="5.8380994122597923E-4"/>
    <n v="96.040215997280654"/>
    <n v="43.683714332215914"/>
    <n v="12.461439241568334"/>
    <n v="0.72237845804648848"/>
    <n v="2.2705562938794763"/>
    <n v="1.4399821496173739"/>
    <n v="0"/>
    <n v="1.8329711680465555E-3"/>
    <n v="1.2701161885672809"/>
    <n v="0.30825164896731705"/>
    <n v="35734.568440908544"/>
    <n v="1647.6604932054261"/>
    <n v="6343.0373987264265"/>
    <n v="36.355863036563676"/>
    <n v="110.80314714131843"/>
    <n v="299.36085116536344"/>
    <n v="0"/>
    <n v="7.5885006357127388E-2"/>
    <n v="454.96472148120188"/>
    <n v="12.884685402857361"/>
    <n v="44639.711486074062"/>
  </r>
  <r>
    <x v="2"/>
    <x v="7"/>
    <x v="14"/>
    <x v="39"/>
    <x v="57"/>
    <s v="Enabling program"/>
    <s v="Community forests"/>
    <n v="66475"/>
    <n v="25443"/>
    <n v="7258"/>
    <n v="500"/>
    <n v="215"/>
    <n v="3928"/>
    <n v="508"/>
    <n v="5"/>
    <n v="1786"/>
    <n v="528"/>
    <n v="4.1278769031227909E-2"/>
    <n v="4.9054990519105349E-2"/>
    <n v="4.9054990519105349E-2"/>
    <n v="4.1278769031227909E-2"/>
    <n v="0.30173505566504666"/>
    <n v="1.047412096026603E-2"/>
    <n v="0"/>
    <n v="1.047412096026603E-2"/>
    <n v="2.0318608039790124E-2"/>
    <n v="1.6680284035027977E-2"/>
    <n v="1.444756916092977E-3"/>
    <n v="1.7169246681686874E-3"/>
    <n v="1.7169246681686874E-3"/>
    <n v="1.444756916092977E-3"/>
    <n v="1.0560726948276634E-2"/>
    <n v="3.6659423360931107E-4"/>
    <n v="0"/>
    <n v="3.6659423360931107E-4"/>
    <n v="7.1115128139265444E-4"/>
    <n v="5.8380994122597923E-4"/>
    <n v="96.040215997280654"/>
    <n v="43.683714332215914"/>
    <n v="12.461439241568334"/>
    <n v="0.72237845804648848"/>
    <n v="2.2705562938794763"/>
    <n v="1.4399821496173739"/>
    <n v="0"/>
    <n v="1.8329711680465555E-3"/>
    <n v="1.2701161885672809"/>
    <n v="0.30825164896731705"/>
    <n v="35734.568440908544"/>
    <n v="1647.6604932054261"/>
    <n v="6343.0373987264265"/>
    <n v="36.355863036563676"/>
    <n v="110.80314714131843"/>
    <n v="299.36085116536344"/>
    <n v="0"/>
    <n v="7.5885006357127388E-2"/>
    <n v="454.96472148120188"/>
    <n v="12.884685402857361"/>
    <n v="44639.711486074062"/>
  </r>
  <r>
    <x v="2"/>
    <x v="7"/>
    <x v="14"/>
    <x v="40"/>
    <x v="58"/>
    <s v="Direct mitigation5"/>
    <s v="Priority districts"/>
    <n v="66475"/>
    <n v="25443"/>
    <n v="7258"/>
    <n v="500"/>
    <n v="215"/>
    <n v="3928"/>
    <n v="508"/>
    <n v="5"/>
    <n v="1786"/>
    <n v="528"/>
    <n v="0.69570923014441111"/>
    <n v="0.55195016569647226"/>
    <n v="0.55195016569647226"/>
    <n v="0.69570923014441111"/>
    <n v="0.63961834455866451"/>
    <n v="0.85291267082773314"/>
    <n v="0"/>
    <n v="0.85291267082773314"/>
    <n v="0.19276739080959265"/>
    <n v="0.23775707599687529"/>
    <n v="9.8334421685792716E-3"/>
    <n v="7.8014920589559878E-3"/>
    <n v="7.8014920589559878E-3"/>
    <n v="9.8334421685792716E-3"/>
    <n v="9.0406303792670267E-3"/>
    <n v="1.2055420655684081E-2"/>
    <n v="0"/>
    <n v="1.2055420655684081E-2"/>
    <n v="2.7246540758422574E-3"/>
    <n v="3.3605569046431631E-3"/>
    <n v="653.67806815630706"/>
    <n v="198.49336245601719"/>
    <n v="56.62322936390256"/>
    <n v="4.9167210842896356"/>
    <n v="1.9437355315424107"/>
    <n v="47.353692335527072"/>
    <n v="0"/>
    <n v="6.0277103278420403E-2"/>
    <n v="4.866232179454272"/>
    <n v="1.7743740456515902"/>
    <n v="243220.02426060595"/>
    <n v="7486.7642663135848"/>
    <n v="28821.972689464063"/>
    <n v="247.44873873012881"/>
    <n v="94.854293939269638"/>
    <n v="9844.4565074316215"/>
    <n v="0"/>
    <n v="2.4954720757266045"/>
    <n v="1743.119242252691"/>
    <n v="74.167490885474606"/>
    <n v="291535.30296169844"/>
  </r>
  <r>
    <x v="2"/>
    <x v="7"/>
    <x v="14"/>
    <x v="41"/>
    <x v="59"/>
    <s v="Adaptation"/>
    <s v="Priority villages"/>
    <n v="66475"/>
    <n v="25443"/>
    <n v="7258"/>
    <n v="500"/>
    <n v="215"/>
    <n v="3928"/>
    <n v="508"/>
    <n v="5"/>
    <n v="1786"/>
    <n v="528"/>
    <n v="0.69570923014441111"/>
    <n v="0.55195016569647226"/>
    <n v="0.55195016569647226"/>
    <n v="0.69570923014441111"/>
    <n v="0.63961834455866451"/>
    <n v="0.85291267082773314"/>
    <n v="0"/>
    <n v="0.85291267082773314"/>
    <n v="0.19276739080959265"/>
    <n v="0.23775707599687529"/>
    <n v="0"/>
    <n v="0"/>
    <n v="0"/>
    <n v="0"/>
    <n v="0"/>
    <n v="0"/>
    <n v="0"/>
    <n v="0"/>
    <n v="0"/>
    <n v="0"/>
    <n v="0"/>
    <n v="0"/>
    <n v="0"/>
    <n v="0"/>
    <n v="0"/>
    <n v="0"/>
    <n v="0"/>
    <n v="0"/>
    <n v="0"/>
    <n v="0"/>
    <n v="0"/>
    <n v="0"/>
    <n v="0"/>
    <n v="0"/>
    <n v="0"/>
    <n v="0"/>
    <n v="0"/>
    <n v="0"/>
    <n v="0"/>
    <n v="0"/>
    <n v="0"/>
  </r>
  <r>
    <x v="2"/>
    <x v="7"/>
    <x v="14"/>
    <x v="42"/>
    <x v="60"/>
    <s v="Enabling program"/>
    <s v="Priority villages"/>
    <n v="66475"/>
    <n v="25443"/>
    <n v="7258"/>
    <n v="500"/>
    <n v="215"/>
    <n v="3928"/>
    <n v="508"/>
    <n v="5"/>
    <n v="1786"/>
    <n v="528"/>
    <n v="0.69570923014441111"/>
    <n v="0.55195016569647226"/>
    <n v="0.55195016569647226"/>
    <n v="0.69570923014441111"/>
    <n v="0.63961834455866451"/>
    <n v="0.85291267082773314"/>
    <n v="0"/>
    <n v="0.85291267082773314"/>
    <n v="0.19276739080959265"/>
    <n v="0.23775707599687529"/>
    <n v="2.4349823055054391E-2"/>
    <n v="1.931825579937653E-2"/>
    <n v="1.931825579937653E-2"/>
    <n v="2.4349823055054391E-2"/>
    <n v="2.238664205955326E-2"/>
    <n v="2.9851943478970664E-2"/>
    <n v="0"/>
    <n v="2.9851943478970664E-2"/>
    <n v="6.7468586783357432E-3"/>
    <n v="8.3214976598906358E-3"/>
    <n v="1618.6544875847408"/>
    <n v="491.51438230353705"/>
    <n v="140.21190059187487"/>
    <n v="12.174911527527195"/>
    <n v="4.8131280428039505"/>
    <n v="117.25843398539676"/>
    <n v="0"/>
    <n v="0.14925971739485333"/>
    <n v="12.049889599507637"/>
    <n v="4.393750764422256"/>
    <n v="602267.69554973149"/>
    <n v="18538.918723918079"/>
    <n v="71369.711953821054"/>
    <n v="612.73894735738872"/>
    <n v="234.88064848883278"/>
    <n v="24377.097044927443"/>
    <n v="0"/>
    <n v="6.1793523001469275"/>
    <n v="4316.3568143347184"/>
    <n v="183.65545335378633"/>
    <n v="721907.23448823288"/>
  </r>
  <r>
    <x v="2"/>
    <x v="7"/>
    <x v="14"/>
    <x v="43"/>
    <x v="61"/>
    <m/>
    <m/>
    <m/>
    <m/>
    <m/>
    <m/>
    <m/>
    <m/>
    <m/>
    <m/>
    <m/>
    <m/>
    <m/>
    <m/>
    <m/>
    <m/>
    <m/>
    <m/>
    <m/>
    <m/>
    <m/>
    <m/>
    <m/>
    <m/>
    <m/>
    <m/>
    <m/>
    <m/>
    <m/>
    <m/>
    <m/>
    <m/>
    <m/>
    <m/>
    <m/>
    <m/>
    <m/>
    <m/>
    <m/>
    <m/>
    <m/>
    <m/>
    <m/>
    <m/>
    <m/>
    <m/>
    <m/>
    <m/>
    <m/>
    <m/>
    <m/>
    <m/>
    <m/>
  </r>
  <r>
    <x v="2"/>
    <x v="7"/>
    <x v="14"/>
    <x v="44"/>
    <x v="62"/>
    <m/>
    <m/>
    <m/>
    <m/>
    <m/>
    <m/>
    <m/>
    <m/>
    <m/>
    <m/>
    <m/>
    <m/>
    <m/>
    <m/>
    <m/>
    <m/>
    <m/>
    <m/>
    <m/>
    <m/>
    <m/>
    <m/>
    <m/>
    <m/>
    <m/>
    <m/>
    <m/>
    <m/>
    <m/>
    <m/>
    <m/>
    <m/>
    <m/>
    <m/>
    <m/>
    <m/>
    <m/>
    <m/>
    <m/>
    <m/>
    <m/>
    <m/>
    <m/>
    <m/>
    <m/>
    <m/>
    <m/>
    <m/>
    <m/>
    <m/>
    <m/>
    <m/>
    <m/>
  </r>
</pivotCacheRecords>
</file>

<file path=xl/pivotCache/pivotCacheRecords2.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63">
  <r>
    <x v="0"/>
    <x v="0"/>
    <x v="0"/>
    <x v="0"/>
    <x v="0"/>
    <m/>
    <m/>
    <m/>
    <m/>
    <m/>
    <m/>
    <m/>
    <m/>
    <m/>
    <m/>
    <m/>
    <m/>
    <m/>
    <m/>
    <m/>
    <m/>
    <m/>
    <m/>
    <m/>
    <m/>
    <m/>
    <m/>
    <m/>
    <m/>
    <m/>
    <m/>
    <m/>
    <m/>
    <m/>
    <m/>
    <m/>
    <m/>
    <m/>
    <m/>
    <m/>
    <m/>
    <m/>
    <m/>
    <m/>
    <m/>
    <m/>
    <m/>
    <m/>
    <m/>
    <m/>
    <m/>
    <m/>
    <m/>
    <m/>
    <m/>
    <m/>
    <m/>
    <m/>
  </r>
  <r>
    <x v="0"/>
    <x v="1"/>
    <x v="0"/>
    <x v="0"/>
    <x v="1"/>
    <m/>
    <m/>
    <m/>
    <m/>
    <m/>
    <m/>
    <m/>
    <m/>
    <m/>
    <m/>
    <m/>
    <m/>
    <m/>
    <m/>
    <m/>
    <m/>
    <m/>
    <m/>
    <m/>
    <m/>
    <m/>
    <m/>
    <m/>
    <m/>
    <m/>
    <m/>
    <m/>
    <m/>
    <m/>
    <m/>
    <m/>
    <m/>
    <m/>
    <m/>
    <m/>
    <m/>
    <m/>
    <m/>
    <m/>
    <m/>
    <m/>
    <m/>
    <m/>
    <m/>
    <m/>
    <m/>
    <m/>
    <m/>
    <m/>
    <m/>
    <m/>
    <m/>
    <m/>
  </r>
  <r>
    <x v="0"/>
    <x v="1"/>
    <x v="1"/>
    <x v="0"/>
    <x v="2"/>
    <s v="Adaptation"/>
    <s v="Province"/>
    <n v="66475"/>
    <n v="25443"/>
    <n v="7258"/>
    <n v="500"/>
    <n v="215"/>
    <n v="3928"/>
    <n v="508"/>
    <n v="5"/>
    <n v="1786"/>
    <n v="528"/>
    <m/>
    <m/>
    <m/>
    <m/>
    <m/>
    <m/>
    <m/>
    <m/>
    <m/>
    <m/>
    <m/>
    <m/>
    <m/>
    <m/>
    <m/>
    <m/>
    <m/>
    <m/>
    <m/>
    <m/>
    <m/>
    <m/>
    <m/>
    <m/>
    <m/>
    <m/>
    <m/>
    <m/>
    <m/>
    <m/>
    <m/>
    <m/>
    <m/>
    <m/>
    <m/>
    <m/>
    <m/>
    <m/>
    <m/>
    <m/>
    <m/>
  </r>
  <r>
    <x v="0"/>
    <x v="1"/>
    <x v="1"/>
    <x v="1"/>
    <x v="3"/>
    <s v="Adaptation"/>
    <s v="Province"/>
    <n v="66475"/>
    <n v="25443"/>
    <n v="7258"/>
    <n v="500"/>
    <n v="215"/>
    <n v="3928"/>
    <n v="508"/>
    <n v="5"/>
    <n v="1786"/>
    <n v="528"/>
    <n v="1"/>
    <n v="1"/>
    <n v="1"/>
    <n v="1"/>
    <n v="1"/>
    <n v="1"/>
    <n v="0"/>
    <n v="1"/>
    <n v="1"/>
    <n v="1"/>
    <n v="0"/>
    <n v="0"/>
    <n v="0"/>
    <n v="0"/>
    <n v="0"/>
    <n v="0"/>
    <n v="0"/>
    <n v="0"/>
    <n v="0"/>
    <n v="0"/>
    <n v="0"/>
    <n v="0"/>
    <n v="0"/>
    <n v="0"/>
    <n v="0"/>
    <n v="0"/>
    <n v="0"/>
    <n v="0"/>
    <n v="0"/>
    <n v="0"/>
    <n v="0"/>
    <n v="0"/>
    <n v="0"/>
    <n v="0"/>
    <n v="0"/>
    <n v="0"/>
    <n v="0"/>
    <n v="0"/>
    <n v="0"/>
    <n v="0"/>
    <n v="0"/>
  </r>
  <r>
    <x v="0"/>
    <x v="1"/>
    <x v="1"/>
    <x v="2"/>
    <x v="4"/>
    <s v="Adaptation"/>
    <s v="Province"/>
    <n v="66475"/>
    <n v="25443"/>
    <n v="7258"/>
    <n v="500"/>
    <n v="215"/>
    <n v="3928"/>
    <n v="508"/>
    <n v="5"/>
    <n v="1786"/>
    <n v="528"/>
    <n v="1"/>
    <n v="1"/>
    <n v="1"/>
    <n v="1"/>
    <n v="1"/>
    <n v="1"/>
    <n v="0"/>
    <n v="1"/>
    <n v="1"/>
    <n v="1"/>
    <n v="0"/>
    <n v="0"/>
    <n v="0"/>
    <n v="0"/>
    <n v="0"/>
    <n v="0"/>
    <n v="0"/>
    <n v="0"/>
    <n v="0"/>
    <n v="0"/>
    <n v="0"/>
    <n v="0"/>
    <n v="0"/>
    <n v="0"/>
    <n v="0"/>
    <n v="0"/>
    <n v="0"/>
    <n v="0"/>
    <n v="0"/>
    <n v="0"/>
    <n v="0"/>
    <n v="0"/>
    <n v="0"/>
    <n v="0"/>
    <n v="0"/>
    <n v="0"/>
    <n v="0"/>
    <n v="0"/>
    <n v="0"/>
    <n v="0"/>
    <n v="0"/>
  </r>
  <r>
    <x v="0"/>
    <x v="1"/>
    <x v="1"/>
    <x v="3"/>
    <x v="5"/>
    <s v="Adaptation"/>
    <s v="Province"/>
    <n v="66475"/>
    <n v="25443"/>
    <n v="7258"/>
    <n v="500"/>
    <n v="215"/>
    <n v="3928"/>
    <n v="508"/>
    <n v="5"/>
    <n v="1786"/>
    <n v="528"/>
    <n v="1"/>
    <n v="1"/>
    <n v="1"/>
    <n v="1"/>
    <n v="1"/>
    <n v="1"/>
    <n v="0"/>
    <n v="1"/>
    <n v="1"/>
    <n v="1"/>
    <n v="0"/>
    <n v="0"/>
    <n v="0"/>
    <n v="0"/>
    <n v="0"/>
    <n v="0"/>
    <n v="0"/>
    <n v="0"/>
    <n v="0"/>
    <n v="0"/>
    <n v="0"/>
    <n v="0"/>
    <n v="0"/>
    <n v="0"/>
    <n v="0"/>
    <n v="0"/>
    <n v="0"/>
    <n v="0"/>
    <n v="0"/>
    <n v="0"/>
    <n v="0"/>
    <n v="0"/>
    <n v="0"/>
    <n v="0"/>
    <n v="0"/>
    <n v="0"/>
    <n v="0"/>
    <n v="0"/>
    <n v="0"/>
    <n v="0"/>
    <n v="0"/>
  </r>
  <r>
    <x v="0"/>
    <x v="2"/>
    <x v="2"/>
    <x v="4"/>
    <x v="6"/>
    <s v="Adaptation"/>
    <s v="Province"/>
    <n v="66475"/>
    <n v="25443"/>
    <n v="7258"/>
    <n v="500"/>
    <n v="215"/>
    <n v="3928"/>
    <n v="508"/>
    <n v="5"/>
    <n v="1786"/>
    <n v="528"/>
    <n v="1"/>
    <n v="1"/>
    <n v="1"/>
    <n v="1"/>
    <n v="1"/>
    <n v="1"/>
    <n v="0"/>
    <n v="1"/>
    <n v="1"/>
    <n v="1"/>
    <n v="0"/>
    <n v="0"/>
    <n v="0"/>
    <n v="0"/>
    <n v="0"/>
    <n v="0"/>
    <n v="0"/>
    <n v="0"/>
    <n v="0"/>
    <n v="0"/>
    <n v="0"/>
    <n v="0"/>
    <n v="0"/>
    <n v="0"/>
    <n v="0"/>
    <n v="0"/>
    <n v="0"/>
    <n v="0"/>
    <n v="0"/>
    <n v="0"/>
    <n v="0"/>
    <n v="0"/>
    <n v="0"/>
    <n v="0"/>
    <n v="0"/>
    <n v="0"/>
    <n v="0"/>
    <n v="0"/>
    <n v="0"/>
    <n v="0"/>
    <n v="0"/>
  </r>
  <r>
    <x v="0"/>
    <x v="1"/>
    <x v="3"/>
    <x v="0"/>
    <x v="7"/>
    <s v="Enabling program"/>
    <s v="Province"/>
    <n v="66475"/>
    <n v="25443"/>
    <n v="7258"/>
    <n v="500"/>
    <n v="215"/>
    <n v="3928"/>
    <n v="508"/>
    <n v="5"/>
    <n v="1786"/>
    <n v="528"/>
    <m/>
    <m/>
    <m/>
    <m/>
    <m/>
    <m/>
    <m/>
    <m/>
    <m/>
    <m/>
    <n v="0"/>
    <n v="0"/>
    <n v="0"/>
    <n v="0"/>
    <n v="0"/>
    <n v="0"/>
    <n v="0"/>
    <n v="0"/>
    <n v="0"/>
    <n v="0"/>
    <n v="0"/>
    <n v="0"/>
    <n v="0"/>
    <n v="0"/>
    <n v="0"/>
    <n v="0"/>
    <n v="0"/>
    <n v="0"/>
    <n v="0"/>
    <n v="0"/>
    <n v="0"/>
    <n v="0"/>
    <n v="0"/>
    <n v="0"/>
    <n v="0"/>
    <n v="0"/>
    <n v="0"/>
    <n v="0"/>
    <n v="0"/>
    <n v="0"/>
    <n v="0"/>
  </r>
  <r>
    <x v="0"/>
    <x v="1"/>
    <x v="3"/>
    <x v="5"/>
    <x v="8"/>
    <s v="Enabling program"/>
    <s v="Province"/>
    <n v="66475"/>
    <n v="25443"/>
    <n v="7258"/>
    <n v="500"/>
    <n v="215"/>
    <n v="3928"/>
    <n v="508"/>
    <n v="5"/>
    <n v="1786"/>
    <n v="528"/>
    <n v="1"/>
    <n v="1"/>
    <n v="1"/>
    <n v="1"/>
    <n v="1"/>
    <n v="1"/>
    <n v="0"/>
    <n v="1"/>
    <n v="1"/>
    <n v="1"/>
    <n v="3.5000000000000003E-2"/>
    <n v="3.5000000000000003E-2"/>
    <n v="3.5000000000000003E-2"/>
    <n v="3.5000000000000003E-2"/>
    <n v="3.5000000000000003E-2"/>
    <n v="3.5000000000000003E-2"/>
    <n v="0"/>
    <n v="3.5000000000000003E-2"/>
    <n v="3.5000000000000003E-2"/>
    <n v="3.5000000000000003E-2"/>
    <n v="2326.625"/>
    <n v="890.50500000000011"/>
    <n v="254.03000000000003"/>
    <n v="17.5"/>
    <n v="7.5250000000000004"/>
    <n v="137.48000000000002"/>
    <n v="0"/>
    <n v="0.17500000000000002"/>
    <n v="62.510000000000005"/>
    <n v="18.48"/>
    <n v="865688.80999999994"/>
    <n v="33588.03"/>
    <n v="129304.63000000002"/>
    <n v="880.74"/>
    <n v="367.21999999999997"/>
    <n v="28581.000000000004"/>
    <n v="0"/>
    <n v="7.2450000000000001"/>
    <n v="22391.530000000002"/>
    <n v="772.44999999999993"/>
    <n v="1081581.655"/>
  </r>
  <r>
    <x v="0"/>
    <x v="1"/>
    <x v="3"/>
    <x v="6"/>
    <x v="9"/>
    <s v="Enabling program"/>
    <s v="Province"/>
    <n v="66475"/>
    <n v="25443"/>
    <n v="7258"/>
    <n v="500"/>
    <n v="215"/>
    <n v="3928"/>
    <n v="508"/>
    <n v="5"/>
    <n v="1786"/>
    <n v="528"/>
    <n v="1"/>
    <n v="1"/>
    <n v="1"/>
    <n v="1"/>
    <n v="1"/>
    <n v="1"/>
    <n v="0"/>
    <n v="1"/>
    <n v="1"/>
    <n v="1"/>
    <n v="3.5000000000000003E-2"/>
    <n v="3.5000000000000003E-2"/>
    <n v="3.5000000000000003E-2"/>
    <n v="3.5000000000000003E-2"/>
    <n v="3.5000000000000003E-2"/>
    <n v="3.5000000000000003E-2"/>
    <n v="0"/>
    <n v="3.5000000000000003E-2"/>
    <n v="3.5000000000000003E-2"/>
    <n v="3.5000000000000003E-2"/>
    <n v="2326.625"/>
    <n v="890.50500000000011"/>
    <n v="254.03000000000003"/>
    <n v="17.5"/>
    <n v="7.5250000000000004"/>
    <n v="137.48000000000002"/>
    <n v="0"/>
    <n v="0.17500000000000002"/>
    <n v="62.510000000000005"/>
    <n v="18.48"/>
    <n v="865688.80999999994"/>
    <n v="33588.03"/>
    <n v="129304.63000000002"/>
    <n v="880.74"/>
    <n v="367.21999999999997"/>
    <n v="28581.000000000004"/>
    <n v="0"/>
    <n v="7.2450000000000001"/>
    <n v="22391.530000000002"/>
    <n v="772.44999999999993"/>
    <n v="1081581.655"/>
  </r>
  <r>
    <x v="0"/>
    <x v="1"/>
    <x v="3"/>
    <x v="7"/>
    <x v="10"/>
    <s v="Enabling program"/>
    <s v="Province"/>
    <n v="66475"/>
    <n v="25443"/>
    <n v="7258"/>
    <n v="500"/>
    <n v="215"/>
    <n v="3928"/>
    <n v="508"/>
    <n v="5"/>
    <n v="1786"/>
    <n v="528"/>
    <n v="1"/>
    <n v="1"/>
    <n v="1"/>
    <n v="1"/>
    <n v="1"/>
    <n v="1"/>
    <n v="0"/>
    <n v="1"/>
    <n v="1"/>
    <n v="1"/>
    <n v="3.5000000000000003E-2"/>
    <n v="3.5000000000000003E-2"/>
    <n v="3.5000000000000003E-2"/>
    <n v="3.5000000000000003E-2"/>
    <n v="3.5000000000000003E-2"/>
    <n v="3.5000000000000003E-2"/>
    <n v="0"/>
    <n v="3.5000000000000003E-2"/>
    <n v="3.5000000000000003E-2"/>
    <n v="3.5000000000000003E-2"/>
    <n v="2326.625"/>
    <n v="890.50500000000011"/>
    <n v="254.03000000000003"/>
    <n v="17.5"/>
    <n v="7.5250000000000004"/>
    <n v="137.48000000000002"/>
    <n v="0"/>
    <n v="0.17500000000000002"/>
    <n v="62.510000000000005"/>
    <n v="18.48"/>
    <n v="865688.80999999994"/>
    <n v="33588.03"/>
    <n v="129304.63000000002"/>
    <n v="880.74"/>
    <n v="367.21999999999997"/>
    <n v="28581.000000000004"/>
    <n v="0"/>
    <n v="7.2450000000000001"/>
    <n v="22391.530000000002"/>
    <n v="772.44999999999993"/>
    <n v="1081581.655"/>
  </r>
  <r>
    <x v="0"/>
    <x v="1"/>
    <x v="3"/>
    <x v="8"/>
    <x v="11"/>
    <s v="Enabling program"/>
    <s v="Province"/>
    <n v="66475"/>
    <n v="25443"/>
    <n v="7258"/>
    <n v="500"/>
    <n v="215"/>
    <n v="3928"/>
    <n v="508"/>
    <n v="5"/>
    <n v="1786"/>
    <n v="528"/>
    <n v="1"/>
    <n v="1"/>
    <n v="1"/>
    <n v="1"/>
    <n v="1"/>
    <n v="1"/>
    <n v="0"/>
    <n v="1"/>
    <n v="1"/>
    <n v="1"/>
    <n v="3.5000000000000003E-2"/>
    <n v="3.5000000000000003E-2"/>
    <n v="3.5000000000000003E-2"/>
    <n v="3.5000000000000003E-2"/>
    <n v="3.5000000000000003E-2"/>
    <n v="3.5000000000000003E-2"/>
    <n v="0"/>
    <n v="3.5000000000000003E-2"/>
    <n v="3.5000000000000003E-2"/>
    <n v="3.5000000000000003E-2"/>
    <n v="2326.625"/>
    <n v="890.50500000000011"/>
    <n v="254.03000000000003"/>
    <n v="17.5"/>
    <n v="7.5250000000000004"/>
    <n v="137.48000000000002"/>
    <n v="0"/>
    <n v="0.17500000000000002"/>
    <n v="62.510000000000005"/>
    <n v="18.48"/>
    <n v="865688.80999999994"/>
    <n v="33588.03"/>
    <n v="129304.63000000002"/>
    <n v="880.74"/>
    <n v="367.21999999999997"/>
    <n v="28581.000000000004"/>
    <n v="0"/>
    <n v="7.2450000000000001"/>
    <n v="22391.530000000002"/>
    <n v="772.44999999999993"/>
    <n v="1081581.655"/>
  </r>
  <r>
    <x v="0"/>
    <x v="1"/>
    <x v="4"/>
    <x v="0"/>
    <x v="12"/>
    <s v="Enabling program"/>
    <s v="Province"/>
    <n v="66475"/>
    <n v="25443"/>
    <n v="7258"/>
    <n v="500"/>
    <n v="215"/>
    <n v="3928"/>
    <n v="508"/>
    <n v="5"/>
    <n v="1786"/>
    <n v="528"/>
    <n v="1"/>
    <n v="1"/>
    <n v="1"/>
    <n v="1"/>
    <n v="1"/>
    <n v="1"/>
    <n v="0"/>
    <n v="1"/>
    <n v="1"/>
    <n v="1"/>
    <n v="3.5000000000000003E-2"/>
    <n v="3.5000000000000003E-2"/>
    <n v="3.5000000000000003E-2"/>
    <n v="3.5000000000000003E-2"/>
    <n v="3.5000000000000003E-2"/>
    <n v="3.5000000000000003E-2"/>
    <n v="0"/>
    <n v="3.5000000000000003E-2"/>
    <n v="3.5000000000000003E-2"/>
    <n v="3.5000000000000003E-2"/>
    <n v="2326.625"/>
    <n v="890.50500000000011"/>
    <n v="254.03000000000003"/>
    <n v="17.5"/>
    <n v="7.5250000000000004"/>
    <n v="137.48000000000002"/>
    <n v="0"/>
    <n v="0.17500000000000002"/>
    <n v="62.510000000000005"/>
    <n v="18.48"/>
    <m/>
    <m/>
    <m/>
    <m/>
    <m/>
    <m/>
    <m/>
    <m/>
    <m/>
    <m/>
    <m/>
  </r>
  <r>
    <x v="0"/>
    <x v="1"/>
    <x v="4"/>
    <x v="9"/>
    <x v="13"/>
    <s v="Enabling program"/>
    <s v="Province"/>
    <n v="66475"/>
    <n v="25443"/>
    <n v="7258"/>
    <n v="500"/>
    <n v="215"/>
    <n v="3928"/>
    <n v="508"/>
    <n v="5"/>
    <n v="1786"/>
    <n v="528"/>
    <n v="1"/>
    <n v="1"/>
    <n v="1"/>
    <n v="1"/>
    <n v="1"/>
    <n v="1"/>
    <n v="0"/>
    <n v="1"/>
    <n v="1"/>
    <n v="1"/>
    <n v="3.5000000000000003E-2"/>
    <n v="3.5000000000000003E-2"/>
    <n v="3.5000000000000003E-2"/>
    <n v="3.5000000000000003E-2"/>
    <n v="3.5000000000000003E-2"/>
    <n v="3.5000000000000003E-2"/>
    <n v="0"/>
    <n v="3.5000000000000003E-2"/>
    <n v="3.5000000000000003E-2"/>
    <n v="3.5000000000000003E-2"/>
    <n v="2326.625"/>
    <n v="890.50500000000011"/>
    <n v="254.03000000000003"/>
    <n v="17.5"/>
    <n v="7.5250000000000004"/>
    <n v="137.48000000000002"/>
    <n v="0"/>
    <n v="0.17500000000000002"/>
    <n v="62.510000000000005"/>
    <n v="18.48"/>
    <n v="865688.80999999994"/>
    <n v="33588.03"/>
    <n v="129304.63000000002"/>
    <n v="880.74"/>
    <n v="367.21999999999997"/>
    <n v="28581.000000000004"/>
    <n v="0"/>
    <n v="7.2450000000000001"/>
    <n v="22391.530000000002"/>
    <n v="772.44999999999993"/>
    <n v="1081581.655"/>
  </r>
  <r>
    <x v="0"/>
    <x v="1"/>
    <x v="4"/>
    <x v="10"/>
    <x v="14"/>
    <s v="Enabling program"/>
    <s v="Province"/>
    <n v="66475"/>
    <n v="25443"/>
    <n v="7258"/>
    <n v="500"/>
    <n v="215"/>
    <n v="3928"/>
    <n v="508"/>
    <n v="5"/>
    <n v="1786"/>
    <n v="528"/>
    <n v="1"/>
    <n v="1"/>
    <n v="1"/>
    <n v="1"/>
    <n v="1"/>
    <n v="1"/>
    <n v="0"/>
    <n v="1"/>
    <n v="1"/>
    <n v="1"/>
    <n v="3.5000000000000003E-2"/>
    <n v="3.5000000000000003E-2"/>
    <n v="3.5000000000000003E-2"/>
    <n v="3.5000000000000003E-2"/>
    <n v="3.5000000000000003E-2"/>
    <n v="3.5000000000000003E-2"/>
    <n v="0"/>
    <n v="3.5000000000000003E-2"/>
    <n v="3.5000000000000003E-2"/>
    <n v="3.5000000000000003E-2"/>
    <n v="2326.625"/>
    <n v="890.50500000000011"/>
    <n v="254.03000000000003"/>
    <n v="17.5"/>
    <n v="7.5250000000000004"/>
    <n v="137.48000000000002"/>
    <n v="0"/>
    <n v="0.17500000000000002"/>
    <n v="62.510000000000005"/>
    <n v="18.48"/>
    <n v="865688.80999999994"/>
    <n v="33588.03"/>
    <n v="129304.63000000002"/>
    <n v="880.74"/>
    <n v="367.21999999999997"/>
    <n v="28581.000000000004"/>
    <n v="0"/>
    <n v="7.2450000000000001"/>
    <n v="22391.530000000002"/>
    <n v="772.44999999999993"/>
    <n v="1081581.655"/>
  </r>
  <r>
    <x v="0"/>
    <x v="3"/>
    <x v="0"/>
    <x v="0"/>
    <x v="15"/>
    <m/>
    <m/>
    <m/>
    <m/>
    <m/>
    <m/>
    <m/>
    <m/>
    <m/>
    <m/>
    <m/>
    <m/>
    <m/>
    <m/>
    <m/>
    <m/>
    <m/>
    <m/>
    <m/>
    <m/>
    <m/>
    <m/>
    <m/>
    <m/>
    <m/>
    <m/>
    <m/>
    <m/>
    <m/>
    <m/>
    <m/>
    <m/>
    <m/>
    <m/>
    <m/>
    <m/>
    <m/>
    <m/>
    <m/>
    <m/>
    <m/>
    <m/>
    <m/>
    <m/>
    <m/>
    <m/>
    <m/>
    <m/>
    <m/>
    <m/>
    <m/>
    <m/>
    <m/>
  </r>
  <r>
    <x v="0"/>
    <x v="3"/>
    <x v="5"/>
    <x v="0"/>
    <x v="16"/>
    <s v="Enabling program"/>
    <s v="Province"/>
    <m/>
    <m/>
    <m/>
    <m/>
    <m/>
    <m/>
    <m/>
    <m/>
    <m/>
    <m/>
    <m/>
    <m/>
    <m/>
    <m/>
    <m/>
    <m/>
    <m/>
    <m/>
    <m/>
    <m/>
    <m/>
    <m/>
    <m/>
    <m/>
    <m/>
    <m/>
    <m/>
    <m/>
    <m/>
    <m/>
    <m/>
    <m/>
    <m/>
    <m/>
    <m/>
    <m/>
    <m/>
    <m/>
    <m/>
    <m/>
    <m/>
    <m/>
    <m/>
    <m/>
    <m/>
    <m/>
    <m/>
    <m/>
    <m/>
    <m/>
    <m/>
  </r>
  <r>
    <x v="0"/>
    <x v="3"/>
    <x v="5"/>
    <x v="11"/>
    <x v="17"/>
    <s v="Enabling program"/>
    <s v="Province APL"/>
    <n v="66475"/>
    <n v="25443"/>
    <n v="7258"/>
    <n v="500"/>
    <n v="215"/>
    <n v="3928"/>
    <n v="508"/>
    <n v="5"/>
    <n v="1786"/>
    <n v="528"/>
    <n v="8.0016340672886779E-2"/>
    <n v="0.23439608722285371"/>
    <n v="0.23439608722285371"/>
    <n v="8.0016340672886779E-2"/>
    <n v="0.10322328641265012"/>
    <n v="7.3837632313357047E-3"/>
    <n v="0"/>
    <n v="7.3837632313357047E-3"/>
    <n v="0.44080092657018277"/>
    <n v="0.57303018728020094"/>
    <n v="2.8005719235510377E-3"/>
    <n v="8.2038630527998813E-3"/>
    <n v="8.2038630527998813E-3"/>
    <n v="2.8005719235510377E-3"/>
    <n v="3.6128150244427544E-3"/>
    <n v="2.5843171309674967E-4"/>
    <n v="0"/>
    <n v="2.5843171309674967E-4"/>
    <n v="1.5428032429956398E-2"/>
    <n v="2.0056056554807036E-2"/>
    <n v="186.16801861805524"/>
    <n v="208.73088765238737"/>
    <n v="59.543638037221541"/>
    <n v="1.4002859617755188"/>
    <n v="0.77675523025519222"/>
    <n v="1.0151197690440328"/>
    <n v="0"/>
    <n v="1.2921585654837482E-3"/>
    <n v="27.554465919902128"/>
    <n v="10.589597860938115"/>
    <n v="69269.250737665963"/>
    <n v="7872.9028095238273"/>
    <n v="30308.499331798834"/>
    <n v="70.473591884238317"/>
    <n v="37.905655236453377"/>
    <n v="211.03533691480581"/>
    <n v="0"/>
    <n v="5.3495364611027177E-2"/>
    <n v="9870.2071713240457"/>
    <n v="442.63716816459129"/>
    <n v="118082.96529787737"/>
  </r>
  <r>
    <x v="0"/>
    <x v="3"/>
    <x v="5"/>
    <x v="12"/>
    <x v="18"/>
    <s v="Direct mitigation1"/>
    <s v="Province APL"/>
    <n v="66475"/>
    <n v="25443"/>
    <n v="7258"/>
    <n v="500"/>
    <n v="215"/>
    <n v="3928"/>
    <n v="508"/>
    <n v="5"/>
    <n v="1786"/>
    <n v="528"/>
    <n v="8.0016340672886779E-2"/>
    <n v="0.23439608722285371"/>
    <n v="0.23439608722285371"/>
    <n v="8.0016340672886779E-2"/>
    <n v="0.10322328641265012"/>
    <n v="7.3837632313357047E-3"/>
    <n v="0"/>
    <n v="7.3837632313357047E-3"/>
    <n v="0.44080092657018277"/>
    <n v="0.57303018728020094"/>
    <n v="1.6298751240399298E-2"/>
    <n v="4.7744791691814316E-2"/>
    <n v="4.7744791691814316E-2"/>
    <n v="1.6298751240399298E-2"/>
    <n v="2.1025838638811325E-2"/>
    <n v="1.5040192929783197E-3"/>
    <n v="0"/>
    <n v="1.5040192929783197E-3"/>
    <n v="8.9787968161100462E-2"/>
    <n v="0.11672211447285202"/>
    <n v="1083.4594887055434"/>
    <n v="1214.7707350148316"/>
    <n v="346.5316980991883"/>
    <n v="8.149375620199649"/>
    <n v="4.5205553073444351"/>
    <n v="5.9077877828188399"/>
    <n v="0"/>
    <n v="7.5200964648915979E-3"/>
    <n v="160.36131113572543"/>
    <n v="61.629276441665866"/>
    <n v="403132.75902249408"/>
    <n v="45818.671305383141"/>
    <n v="176389.21783248926"/>
    <n v="410.14177621340798"/>
    <n v="220.60309899840843"/>
    <n v="1228.1821546460958"/>
    <n v="0"/>
    <n v="0.31133199364651215"/>
    <n v="57442.570934809315"/>
    <n v="2576.057066415844"/>
    <n v="687218.5145234433"/>
  </r>
  <r>
    <x v="0"/>
    <x v="3"/>
    <x v="5"/>
    <x v="13"/>
    <x v="19"/>
    <s v="Enabling program"/>
    <s v="Province APL"/>
    <n v="66475"/>
    <n v="25443"/>
    <n v="7258"/>
    <n v="500"/>
    <n v="215"/>
    <n v="3928"/>
    <n v="508"/>
    <n v="5"/>
    <n v="1786"/>
    <n v="528"/>
    <n v="8.0016340672886779E-2"/>
    <n v="0.23439608722285371"/>
    <n v="0.23439608722285371"/>
    <n v="8.0016340672886779E-2"/>
    <n v="0.10322328641265012"/>
    <n v="7.3837632313357047E-3"/>
    <n v="0"/>
    <n v="7.3837632313357047E-3"/>
    <n v="0.44080092657018277"/>
    <n v="0.57303018728020094"/>
    <n v="2.8005719235510377E-3"/>
    <n v="8.2038630527998813E-3"/>
    <n v="8.2038630527998813E-3"/>
    <n v="2.8005719235510377E-3"/>
    <n v="3.6128150244427544E-3"/>
    <n v="2.5843171309674967E-4"/>
    <n v="0"/>
    <n v="2.5843171309674967E-4"/>
    <n v="1.5428032429956398E-2"/>
    <n v="2.0056056554807036E-2"/>
    <n v="186.16801861805524"/>
    <n v="208.73088765238737"/>
    <n v="59.543638037221541"/>
    <n v="1.4002859617755188"/>
    <n v="0.77675523025519222"/>
    <n v="1.0151197690440328"/>
    <n v="0"/>
    <n v="1.2921585654837482E-3"/>
    <n v="27.554465919902128"/>
    <n v="10.589597860938115"/>
    <n v="69269.250737665963"/>
    <n v="7872.9028095238273"/>
    <n v="30308.499331798834"/>
    <n v="70.473591884238317"/>
    <n v="37.905655236453377"/>
    <n v="211.03533691480581"/>
    <n v="0"/>
    <n v="5.3495364611027177E-2"/>
    <n v="9870.2071713240457"/>
    <n v="442.63716816459129"/>
    <n v="118082.96529787737"/>
  </r>
  <r>
    <x v="0"/>
    <x v="3"/>
    <x v="5"/>
    <x v="14"/>
    <x v="20"/>
    <s v="Enabling program"/>
    <s v="Province APL"/>
    <n v="66475"/>
    <n v="25443"/>
    <n v="7258"/>
    <n v="500"/>
    <n v="215"/>
    <n v="3928"/>
    <n v="508"/>
    <n v="5"/>
    <n v="1786"/>
    <n v="528"/>
    <n v="8.0016340672886779E-2"/>
    <n v="0.23439608722285371"/>
    <n v="0.23439608722285371"/>
    <n v="8.0016340672886779E-2"/>
    <n v="0.10322328641265012"/>
    <n v="7.3837632313357047E-3"/>
    <n v="0"/>
    <n v="7.3837632313357047E-3"/>
    <n v="0.44080092657018277"/>
    <n v="0.57303018728020094"/>
    <n v="2.8005719235510377E-3"/>
    <n v="8.2038630527998813E-3"/>
    <n v="8.2038630527998813E-3"/>
    <n v="2.8005719235510377E-3"/>
    <n v="3.6128150244427544E-3"/>
    <n v="2.5843171309674967E-4"/>
    <n v="0"/>
    <n v="2.5843171309674967E-4"/>
    <n v="1.5428032429956398E-2"/>
    <n v="2.0056056554807036E-2"/>
    <n v="186.16801861805524"/>
    <n v="208.73088765238737"/>
    <n v="59.543638037221541"/>
    <n v="1.4002859617755188"/>
    <n v="0.77675523025519222"/>
    <n v="1.0151197690440328"/>
    <n v="0"/>
    <n v="1.2921585654837482E-3"/>
    <n v="27.554465919902128"/>
    <n v="10.589597860938115"/>
    <n v="69269.250737665963"/>
    <n v="7872.9028095238273"/>
    <n v="30308.499331798834"/>
    <n v="70.473591884238317"/>
    <n v="37.905655236453377"/>
    <n v="211.03533691480581"/>
    <n v="0"/>
    <n v="5.3495364611027177E-2"/>
    <n v="9870.2071713240457"/>
    <n v="442.63716816459129"/>
    <n v="118082.96529787737"/>
  </r>
  <r>
    <x v="0"/>
    <x v="3"/>
    <x v="5"/>
    <x v="15"/>
    <x v="21"/>
    <m/>
    <m/>
    <m/>
    <m/>
    <m/>
    <m/>
    <m/>
    <m/>
    <m/>
    <m/>
    <m/>
    <m/>
    <m/>
    <m/>
    <m/>
    <m/>
    <m/>
    <m/>
    <m/>
    <m/>
    <m/>
    <m/>
    <m/>
    <m/>
    <m/>
    <m/>
    <m/>
    <m/>
    <m/>
    <m/>
    <m/>
    <m/>
    <m/>
    <m/>
    <m/>
    <m/>
    <m/>
    <m/>
    <m/>
    <m/>
    <m/>
    <m/>
    <m/>
    <m/>
    <m/>
    <m/>
    <m/>
    <m/>
    <m/>
    <m/>
    <m/>
    <m/>
    <m/>
  </r>
  <r>
    <x v="0"/>
    <x v="4"/>
    <x v="0"/>
    <x v="0"/>
    <x v="22"/>
    <m/>
    <m/>
    <m/>
    <m/>
    <m/>
    <m/>
    <m/>
    <m/>
    <m/>
    <m/>
    <m/>
    <m/>
    <m/>
    <m/>
    <m/>
    <m/>
    <m/>
    <m/>
    <m/>
    <m/>
    <m/>
    <m/>
    <m/>
    <m/>
    <m/>
    <m/>
    <m/>
    <m/>
    <m/>
    <m/>
    <m/>
    <m/>
    <m/>
    <m/>
    <m/>
    <m/>
    <m/>
    <m/>
    <m/>
    <m/>
    <m/>
    <m/>
    <m/>
    <m/>
    <m/>
    <m/>
    <m/>
    <m/>
    <m/>
    <m/>
    <m/>
    <m/>
    <m/>
  </r>
  <r>
    <x v="0"/>
    <x v="4"/>
    <x v="6"/>
    <x v="0"/>
    <x v="23"/>
    <s v="Enabling program"/>
    <s v="Province"/>
    <m/>
    <m/>
    <m/>
    <m/>
    <m/>
    <m/>
    <m/>
    <m/>
    <m/>
    <m/>
    <m/>
    <m/>
    <m/>
    <m/>
    <m/>
    <m/>
    <m/>
    <m/>
    <m/>
    <m/>
    <m/>
    <m/>
    <m/>
    <m/>
    <m/>
    <m/>
    <m/>
    <m/>
    <m/>
    <m/>
    <m/>
    <m/>
    <m/>
    <m/>
    <m/>
    <m/>
    <m/>
    <m/>
    <m/>
    <m/>
    <m/>
    <m/>
    <m/>
    <m/>
    <m/>
    <m/>
    <m/>
    <m/>
    <m/>
    <m/>
    <m/>
  </r>
  <r>
    <x v="0"/>
    <x v="4"/>
    <x v="6"/>
    <x v="16"/>
    <x v="24"/>
    <s v="Enabling program"/>
    <s v="Social Forestry in priority villages"/>
    <n v="66475"/>
    <n v="25443"/>
    <n v="7258"/>
    <n v="500"/>
    <n v="215"/>
    <n v="3928"/>
    <n v="508"/>
    <n v="5"/>
    <n v="1786"/>
    <n v="528"/>
    <n v="4.1278769031227909E-2"/>
    <n v="4.9054990519105349E-2"/>
    <n v="4.9054990519105349E-2"/>
    <n v="4.1278769031227909E-2"/>
    <n v="0.30173505566504666"/>
    <n v="1.047412096026603E-2"/>
    <n v="0"/>
    <n v="1.047412096026603E-2"/>
    <n v="2.0318608039790124E-2"/>
    <n v="1.6680284035027977E-2"/>
    <n v="1.444756916092977E-3"/>
    <n v="1.7169246681686874E-3"/>
    <n v="1.7169246681686874E-3"/>
    <n v="1.444756916092977E-3"/>
    <n v="1.0560726948276634E-2"/>
    <n v="3.6659423360931107E-4"/>
    <n v="0"/>
    <n v="3.6659423360931107E-4"/>
    <n v="7.1115128139265444E-4"/>
    <n v="5.8380994122597923E-4"/>
    <n v="96.040215997280654"/>
    <n v="43.683714332215914"/>
    <n v="12.461439241568334"/>
    <n v="0.72237845804648848"/>
    <n v="2.2705562938794763"/>
    <n v="1.4399821496173739"/>
    <n v="0"/>
    <n v="1.8329711680465555E-3"/>
    <n v="1.2701161885672809"/>
    <n v="0.30825164896731705"/>
    <n v="35734.568440908544"/>
    <n v="1647.6604932054261"/>
    <n v="6343.0373987264265"/>
    <n v="36.355863036563676"/>
    <n v="110.80314714131843"/>
    <n v="299.36085116536344"/>
    <n v="0"/>
    <n v="7.5885006357127388E-2"/>
    <n v="454.96472148120188"/>
    <n v="12.884685402857361"/>
    <n v="44639.711486074062"/>
  </r>
  <r>
    <x v="0"/>
    <x v="4"/>
    <x v="6"/>
    <x v="17"/>
    <x v="25"/>
    <s v="Enabling program"/>
    <s v="Social Forestry in priority villages"/>
    <n v="66475"/>
    <n v="25443"/>
    <n v="7258"/>
    <n v="500"/>
    <n v="215"/>
    <n v="3928"/>
    <n v="508"/>
    <n v="5"/>
    <n v="1786"/>
    <n v="528"/>
    <n v="4.1278769031227909E-2"/>
    <n v="4.9054990519105349E-2"/>
    <n v="4.9054990519105349E-2"/>
    <n v="4.1278769031227909E-2"/>
    <n v="0.30173505566504666"/>
    <n v="1.047412096026603E-2"/>
    <n v="0"/>
    <n v="1.047412096026603E-2"/>
    <n v="2.0318608039790124E-2"/>
    <n v="1.6680284035027977E-2"/>
    <n v="1.444756916092977E-3"/>
    <n v="1.7169246681686874E-3"/>
    <n v="1.7169246681686874E-3"/>
    <n v="1.444756916092977E-3"/>
    <n v="1.0560726948276634E-2"/>
    <n v="3.6659423360931107E-4"/>
    <n v="0"/>
    <n v="3.6659423360931107E-4"/>
    <n v="7.1115128139265444E-4"/>
    <n v="5.8380994122597923E-4"/>
    <n v="96.040215997280654"/>
    <n v="43.683714332215914"/>
    <n v="12.461439241568334"/>
    <n v="0.72237845804648848"/>
    <n v="2.2705562938794763"/>
    <n v="1.4399821496173739"/>
    <n v="0"/>
    <n v="1.8329711680465555E-3"/>
    <n v="1.2701161885672809"/>
    <n v="0.30825164896731705"/>
    <n v="35734.568440908544"/>
    <n v="1647.6604932054261"/>
    <n v="6343.0373987264265"/>
    <n v="36.355863036563676"/>
    <n v="110.80314714131843"/>
    <n v="299.36085116536344"/>
    <n v="0"/>
    <n v="7.5885006357127388E-2"/>
    <n v="454.96472148120188"/>
    <n v="12.884685402857361"/>
    <n v="44639.711486074062"/>
  </r>
  <r>
    <x v="1"/>
    <x v="0"/>
    <x v="0"/>
    <x v="0"/>
    <x v="0"/>
    <m/>
    <m/>
    <m/>
    <m/>
    <m/>
    <m/>
    <m/>
    <m/>
    <m/>
    <m/>
    <m/>
    <m/>
    <m/>
    <m/>
    <m/>
    <m/>
    <m/>
    <m/>
    <m/>
    <m/>
    <m/>
    <m/>
    <m/>
    <m/>
    <m/>
    <m/>
    <m/>
    <m/>
    <m/>
    <m/>
    <m/>
    <m/>
    <m/>
    <m/>
    <m/>
    <m/>
    <m/>
    <m/>
    <m/>
    <m/>
    <m/>
    <m/>
    <m/>
    <m/>
    <m/>
    <m/>
    <m/>
    <m/>
    <m/>
    <m/>
    <m/>
    <m/>
    <m/>
  </r>
  <r>
    <x v="1"/>
    <x v="5"/>
    <x v="0"/>
    <x v="0"/>
    <x v="26"/>
    <m/>
    <m/>
    <m/>
    <m/>
    <m/>
    <m/>
    <m/>
    <m/>
    <m/>
    <m/>
    <m/>
    <m/>
    <m/>
    <m/>
    <m/>
    <m/>
    <m/>
    <m/>
    <m/>
    <m/>
    <m/>
    <m/>
    <m/>
    <m/>
    <m/>
    <m/>
    <m/>
    <m/>
    <m/>
    <m/>
    <m/>
    <m/>
    <m/>
    <m/>
    <m/>
    <m/>
    <m/>
    <m/>
    <m/>
    <m/>
    <m/>
    <m/>
    <m/>
    <m/>
    <m/>
    <m/>
    <m/>
    <m/>
    <m/>
    <m/>
    <m/>
    <m/>
    <m/>
  </r>
  <r>
    <x v="1"/>
    <x v="5"/>
    <x v="7"/>
    <x v="18"/>
    <x v="27"/>
    <s v="Enabling program"/>
    <s v="Priority districts"/>
    <n v="66475"/>
    <n v="25443"/>
    <n v="7258"/>
    <n v="500"/>
    <n v="215"/>
    <n v="3928"/>
    <n v="508"/>
    <n v="5"/>
    <n v="1786"/>
    <n v="528"/>
    <n v="0.81728319627446899"/>
    <n v="0.7830246708410511"/>
    <n v="0.7830246708410511"/>
    <n v="0.81728319627446899"/>
    <n v="0.78695170947819271"/>
    <n v="0.86006671184589323"/>
    <n v="0"/>
    <n v="0.86006671184589323"/>
    <n v="0.77250477095755521"/>
    <n v="0.75074731289911101"/>
    <n v="2.8604911869606418E-2"/>
    <n v="2.7405863479436791E-2"/>
    <n v="2.7405863479436791E-2"/>
    <n v="2.8604911869606418E-2"/>
    <n v="2.7543309831736747E-2"/>
    <n v="3.0102334914606267E-2"/>
    <n v="0"/>
    <n v="3.0102334914606267E-2"/>
    <n v="2.7037666983514435E-2"/>
    <n v="2.6276155951468889E-2"/>
    <n v="1901.5115165320867"/>
    <n v="697.28738450731032"/>
    <n v="198.91175713375222"/>
    <n v="14.302455934803209"/>
    <n v="5.9218116138234009"/>
    <n v="118.24197154457342"/>
    <n v="0"/>
    <n v="0.15051167457303133"/>
    <n v="48.289273232556781"/>
    <n v="13.873810342375574"/>
    <n v="707512.91761584161"/>
    <n v="26300.256134949352"/>
    <n v="101248.7153439739"/>
    <n v="719.81400228677592"/>
    <n v="288.98440675458193"/>
    <n v="24581.566691267479"/>
    <n v="0"/>
    <n v="6.2311833273234969"/>
    <n v="17297.563754039227"/>
    <n v="579.91476184891837"/>
    <n v="878535.96389428922"/>
  </r>
  <r>
    <x v="1"/>
    <x v="5"/>
    <x v="7"/>
    <x v="18"/>
    <x v="28"/>
    <m/>
    <m/>
    <m/>
    <m/>
    <m/>
    <m/>
    <m/>
    <m/>
    <m/>
    <m/>
    <m/>
    <m/>
    <m/>
    <m/>
    <m/>
    <m/>
    <m/>
    <m/>
    <m/>
    <m/>
    <m/>
    <m/>
    <m/>
    <m/>
    <m/>
    <m/>
    <m/>
    <m/>
    <m/>
    <m/>
    <m/>
    <m/>
    <m/>
    <m/>
    <m/>
    <m/>
    <m/>
    <m/>
    <m/>
    <m/>
    <m/>
    <m/>
    <m/>
    <m/>
    <m/>
    <m/>
    <m/>
    <m/>
    <m/>
    <m/>
    <m/>
    <m/>
    <m/>
  </r>
  <r>
    <x v="1"/>
    <x v="5"/>
    <x v="8"/>
    <x v="0"/>
    <x v="29"/>
    <s v="Enabling program"/>
    <s v="Priority villages"/>
    <m/>
    <m/>
    <m/>
    <m/>
    <m/>
    <m/>
    <m/>
    <m/>
    <m/>
    <m/>
    <m/>
    <m/>
    <m/>
    <m/>
    <m/>
    <m/>
    <m/>
    <m/>
    <m/>
    <m/>
    <m/>
    <m/>
    <m/>
    <m/>
    <m/>
    <m/>
    <m/>
    <m/>
    <m/>
    <m/>
    <m/>
    <m/>
    <m/>
    <m/>
    <m/>
    <m/>
    <m/>
    <m/>
    <m/>
    <m/>
    <m/>
    <m/>
    <m/>
    <m/>
    <m/>
    <m/>
    <m/>
    <m/>
    <m/>
    <m/>
    <m/>
  </r>
  <r>
    <x v="1"/>
    <x v="5"/>
    <x v="8"/>
    <x v="19"/>
    <x v="30"/>
    <s v="Direct mitigation2"/>
    <s v="Priority districts"/>
    <n v="66475"/>
    <n v="25443"/>
    <n v="7258"/>
    <n v="500"/>
    <n v="215"/>
    <n v="3928"/>
    <n v="508"/>
    <n v="5"/>
    <n v="1786"/>
    <n v="528"/>
    <n v="0.81728319627446899"/>
    <n v="0.7830246708410511"/>
    <n v="0.7830246708410511"/>
    <n v="0.81728319627446899"/>
    <n v="0.78695170947819271"/>
    <n v="0.86006671184589323"/>
    <n v="0"/>
    <n v="0.86006671184589323"/>
    <n v="0.77250477095755521"/>
    <n v="0.75074731289911101"/>
    <n v="2.9999745242791986E-2"/>
    <n v="2.8742228827330168E-2"/>
    <n v="2.8742228827330168E-2"/>
    <n v="2.9999745242791986E-2"/>
    <n v="2.8886377341835152E-2"/>
    <n v="3.1570185664893495E-2"/>
    <n v="0"/>
    <n v="3.1570185664893495E-2"/>
    <n v="2.8356078325370543E-2"/>
    <n v="2.7557434474794109E-2"/>
    <n v="1994.2330650145973"/>
    <n v="731.28852805376141"/>
    <n v="208.61109682876236"/>
    <n v="14.999872621395992"/>
    <n v="6.2105711284945579"/>
    <n v="124.00768929170165"/>
    <n v="0"/>
    <n v="0.15785092832446748"/>
    <n v="50.643955889111787"/>
    <n v="14.550325402691289"/>
    <n v="742012.67884387868"/>
    <n v="27582.709831978009"/>
    <n v="106185.80753980747"/>
    <n v="754.91358928961756"/>
    <n v="303.07587107053439"/>
    <n v="25780.21361395203"/>
    <n v="0"/>
    <n v="6.535028432632954"/>
    <n v="18141.027957282407"/>
    <n v="608.19257885870593"/>
    <n v="921375.15485455003"/>
  </r>
  <r>
    <x v="1"/>
    <x v="5"/>
    <x v="8"/>
    <x v="20"/>
    <x v="31"/>
    <s v="Enabling program"/>
    <s v="Priority villages"/>
    <n v="66475"/>
    <n v="25443"/>
    <n v="7258"/>
    <n v="500"/>
    <n v="215"/>
    <n v="3928"/>
    <n v="508"/>
    <n v="5"/>
    <n v="1786"/>
    <n v="528"/>
    <n v="0.69570923014441111"/>
    <n v="0.55195016569647226"/>
    <n v="0.55195016569647226"/>
    <n v="0.69570923014441111"/>
    <n v="0.63961834455866451"/>
    <n v="0.85291267082773314"/>
    <n v="0"/>
    <n v="0.85291267082773314"/>
    <n v="0.19276739080959265"/>
    <n v="0.23775707599687529"/>
    <n v="2.4349823055054391E-2"/>
    <n v="1.931825579937653E-2"/>
    <n v="1.931825579937653E-2"/>
    <n v="2.4349823055054391E-2"/>
    <n v="2.238664205955326E-2"/>
    <n v="2.9851943478970664E-2"/>
    <n v="0"/>
    <n v="2.9851943478970664E-2"/>
    <n v="6.7468586783357432E-3"/>
    <n v="8.3214976598906358E-3"/>
    <n v="1618.6544875847408"/>
    <n v="491.51438230353705"/>
    <n v="140.21190059187487"/>
    <n v="12.174911527527195"/>
    <n v="4.8131280428039505"/>
    <n v="117.25843398539676"/>
    <n v="0"/>
    <n v="0.14925971739485333"/>
    <n v="12.049889599507637"/>
    <n v="4.393750764422256"/>
    <n v="602267.69554973149"/>
    <n v="18538.918723918079"/>
    <n v="71369.711953821054"/>
    <n v="612.73894735738872"/>
    <n v="234.88064848883278"/>
    <n v="24377.097044927443"/>
    <n v="0"/>
    <n v="6.1793523001469275"/>
    <n v="4316.3568143347184"/>
    <n v="183.65545335378633"/>
    <n v="721907.23448823288"/>
  </r>
  <r>
    <x v="1"/>
    <x v="5"/>
    <x v="8"/>
    <x v="21"/>
    <x v="32"/>
    <s v="Enabling program"/>
    <s v="Priority villages"/>
    <n v="66475"/>
    <n v="25443"/>
    <n v="7258"/>
    <n v="500"/>
    <n v="215"/>
    <n v="3928"/>
    <n v="508"/>
    <n v="5"/>
    <n v="1786"/>
    <n v="528"/>
    <n v="0.69570923014441111"/>
    <n v="0.55195016569647226"/>
    <n v="0.55195016569647226"/>
    <n v="0.69570923014441111"/>
    <n v="0.63961834455866451"/>
    <n v="0.85291267082773314"/>
    <n v="0"/>
    <n v="0.85291267082773314"/>
    <n v="0.19276739080959265"/>
    <n v="0.23775707599687529"/>
    <n v="2.4349823055054391E-2"/>
    <n v="1.931825579937653E-2"/>
    <n v="1.931825579937653E-2"/>
    <n v="2.4349823055054391E-2"/>
    <n v="2.238664205955326E-2"/>
    <n v="2.9851943478970664E-2"/>
    <n v="0"/>
    <n v="2.9851943478970664E-2"/>
    <n v="6.7468586783357432E-3"/>
    <n v="8.3214976598906358E-3"/>
    <n v="1618.6544875847408"/>
    <n v="491.51438230353705"/>
    <n v="140.21190059187487"/>
    <n v="12.174911527527195"/>
    <n v="4.8131280428039505"/>
    <n v="117.25843398539676"/>
    <n v="0"/>
    <n v="0.14925971739485333"/>
    <n v="12.049889599507637"/>
    <n v="4.393750764422256"/>
    <n v="602267.69554973149"/>
    <n v="18538.918723918079"/>
    <n v="71369.711953821054"/>
    <n v="612.73894735738872"/>
    <n v="234.88064848883278"/>
    <n v="24377.097044927443"/>
    <n v="0"/>
    <n v="6.1793523001469275"/>
    <n v="4316.3568143347184"/>
    <n v="183.65545335378633"/>
    <n v="721907.23448823288"/>
  </r>
  <r>
    <x v="1"/>
    <x v="5"/>
    <x v="9"/>
    <x v="0"/>
    <x v="33"/>
    <s v="Enabling program"/>
    <s v="Priority villages"/>
    <m/>
    <m/>
    <m/>
    <m/>
    <m/>
    <m/>
    <m/>
    <m/>
    <m/>
    <m/>
    <m/>
    <m/>
    <m/>
    <m/>
    <m/>
    <m/>
    <m/>
    <m/>
    <m/>
    <m/>
    <m/>
    <m/>
    <m/>
    <m/>
    <m/>
    <m/>
    <m/>
    <m/>
    <m/>
    <m/>
    <m/>
    <m/>
    <m/>
    <m/>
    <m/>
    <m/>
    <m/>
    <m/>
    <m/>
    <m/>
    <m/>
    <m/>
    <m/>
    <m/>
    <m/>
    <m/>
    <m/>
    <m/>
    <m/>
    <m/>
    <m/>
  </r>
  <r>
    <x v="1"/>
    <x v="5"/>
    <x v="9"/>
    <x v="22"/>
    <x v="34"/>
    <s v="Enabling program"/>
    <s v="Priority villages"/>
    <n v="66475"/>
    <n v="25443"/>
    <n v="7258"/>
    <n v="500"/>
    <n v="215"/>
    <n v="3928"/>
    <n v="508"/>
    <n v="5"/>
    <n v="1786"/>
    <n v="528"/>
    <n v="0.69570923014441111"/>
    <n v="0.55195016569647226"/>
    <n v="0.55195016569647226"/>
    <n v="0.69570923014441111"/>
    <n v="0.63961834455866451"/>
    <n v="0.85291267082773314"/>
    <n v="0"/>
    <n v="0.85291267082773314"/>
    <n v="0.19276739080959265"/>
    <n v="0.23775707599687529"/>
    <n v="2.4349823055054391E-2"/>
    <n v="1.931825579937653E-2"/>
    <n v="1.931825579937653E-2"/>
    <n v="2.4349823055054391E-2"/>
    <n v="2.238664205955326E-2"/>
    <n v="2.9851943478970664E-2"/>
    <n v="0"/>
    <n v="2.9851943478970664E-2"/>
    <n v="6.7468586783357432E-3"/>
    <n v="8.3214976598906358E-3"/>
    <n v="1618.6544875847408"/>
    <n v="491.51438230353705"/>
    <n v="140.21190059187487"/>
    <n v="12.174911527527195"/>
    <n v="4.8131280428039505"/>
    <n v="117.25843398539676"/>
    <n v="0"/>
    <n v="0.14925971739485333"/>
    <n v="12.049889599507637"/>
    <n v="4.393750764422256"/>
    <n v="602267.69554973149"/>
    <n v="18538.918723918079"/>
    <n v="71369.711953821054"/>
    <n v="612.73894735738872"/>
    <n v="234.88064848883278"/>
    <n v="24377.097044927443"/>
    <n v="0"/>
    <n v="6.1793523001469275"/>
    <n v="4316.3568143347184"/>
    <n v="183.65545335378633"/>
    <n v="721907.23448823288"/>
  </r>
  <r>
    <x v="1"/>
    <x v="5"/>
    <x v="10"/>
    <x v="0"/>
    <x v="35"/>
    <m/>
    <m/>
    <m/>
    <m/>
    <m/>
    <m/>
    <m/>
    <m/>
    <m/>
    <m/>
    <m/>
    <m/>
    <m/>
    <m/>
    <m/>
    <m/>
    <m/>
    <m/>
    <m/>
    <m/>
    <m/>
    <m/>
    <m/>
    <m/>
    <m/>
    <m/>
    <m/>
    <m/>
    <m/>
    <m/>
    <m/>
    <m/>
    <m/>
    <m/>
    <m/>
    <m/>
    <m/>
    <m/>
    <m/>
    <m/>
    <m/>
    <m/>
    <m/>
    <m/>
    <m/>
    <m/>
    <m/>
    <m/>
    <m/>
    <m/>
    <m/>
    <m/>
    <m/>
  </r>
  <r>
    <x v="1"/>
    <x v="5"/>
    <x v="10"/>
    <x v="23"/>
    <x v="35"/>
    <m/>
    <m/>
    <m/>
    <m/>
    <m/>
    <m/>
    <m/>
    <m/>
    <m/>
    <m/>
    <m/>
    <m/>
    <m/>
    <m/>
    <m/>
    <m/>
    <m/>
    <m/>
    <m/>
    <m/>
    <m/>
    <m/>
    <m/>
    <m/>
    <m/>
    <m/>
    <m/>
    <m/>
    <m/>
    <m/>
    <m/>
    <m/>
    <m/>
    <m/>
    <m/>
    <m/>
    <m/>
    <m/>
    <m/>
    <m/>
    <m/>
    <m/>
    <m/>
    <m/>
    <m/>
    <m/>
    <m/>
    <m/>
    <m/>
    <m/>
    <m/>
    <m/>
    <m/>
  </r>
  <r>
    <x v="1"/>
    <x v="5"/>
    <x v="11"/>
    <x v="0"/>
    <x v="36"/>
    <m/>
    <m/>
    <m/>
    <m/>
    <m/>
    <m/>
    <m/>
    <m/>
    <m/>
    <m/>
    <m/>
    <m/>
    <m/>
    <m/>
    <m/>
    <m/>
    <m/>
    <m/>
    <m/>
    <m/>
    <m/>
    <m/>
    <m/>
    <m/>
    <m/>
    <m/>
    <m/>
    <m/>
    <m/>
    <m/>
    <m/>
    <m/>
    <m/>
    <m/>
    <m/>
    <m/>
    <m/>
    <m/>
    <m/>
    <m/>
    <m/>
    <m/>
    <m/>
    <m/>
    <m/>
    <m/>
    <m/>
    <m/>
    <m/>
    <m/>
    <m/>
    <m/>
    <m/>
  </r>
  <r>
    <x v="1"/>
    <x v="5"/>
    <x v="11"/>
    <x v="24"/>
    <x v="37"/>
    <m/>
    <m/>
    <m/>
    <m/>
    <m/>
    <m/>
    <m/>
    <m/>
    <m/>
    <m/>
    <m/>
    <m/>
    <m/>
    <m/>
    <m/>
    <m/>
    <m/>
    <m/>
    <m/>
    <m/>
    <m/>
    <m/>
    <m/>
    <m/>
    <m/>
    <m/>
    <m/>
    <m/>
    <m/>
    <m/>
    <m/>
    <m/>
    <m/>
    <m/>
    <m/>
    <m/>
    <m/>
    <m/>
    <m/>
    <m/>
    <m/>
    <m/>
    <m/>
    <m/>
    <m/>
    <m/>
    <m/>
    <m/>
    <m/>
    <m/>
    <m/>
    <m/>
    <m/>
  </r>
  <r>
    <x v="1"/>
    <x v="5"/>
    <x v="11"/>
    <x v="25"/>
    <x v="38"/>
    <m/>
    <m/>
    <m/>
    <m/>
    <m/>
    <m/>
    <m/>
    <m/>
    <m/>
    <m/>
    <m/>
    <m/>
    <m/>
    <m/>
    <m/>
    <m/>
    <m/>
    <m/>
    <m/>
    <m/>
    <m/>
    <m/>
    <m/>
    <m/>
    <m/>
    <m/>
    <m/>
    <m/>
    <m/>
    <m/>
    <m/>
    <m/>
    <m/>
    <m/>
    <m/>
    <m/>
    <m/>
    <m/>
    <m/>
    <m/>
    <m/>
    <m/>
    <m/>
    <m/>
    <m/>
    <m/>
    <m/>
    <m/>
    <m/>
    <m/>
    <m/>
    <m/>
    <m/>
  </r>
  <r>
    <x v="1"/>
    <x v="5"/>
    <x v="11"/>
    <x v="26"/>
    <x v="39"/>
    <m/>
    <m/>
    <m/>
    <m/>
    <m/>
    <m/>
    <m/>
    <m/>
    <m/>
    <m/>
    <m/>
    <m/>
    <m/>
    <m/>
    <m/>
    <m/>
    <m/>
    <m/>
    <m/>
    <m/>
    <m/>
    <m/>
    <m/>
    <m/>
    <m/>
    <m/>
    <m/>
    <m/>
    <m/>
    <m/>
    <m/>
    <m/>
    <m/>
    <m/>
    <m/>
    <m/>
    <m/>
    <m/>
    <m/>
    <m/>
    <m/>
    <m/>
    <m/>
    <m/>
    <m/>
    <m/>
    <m/>
    <m/>
    <m/>
    <m/>
    <m/>
    <m/>
    <m/>
  </r>
  <r>
    <x v="1"/>
    <x v="5"/>
    <x v="11"/>
    <x v="27"/>
    <x v="40"/>
    <m/>
    <m/>
    <m/>
    <m/>
    <m/>
    <m/>
    <m/>
    <m/>
    <m/>
    <m/>
    <m/>
    <m/>
    <m/>
    <m/>
    <m/>
    <m/>
    <m/>
    <m/>
    <m/>
    <m/>
    <m/>
    <m/>
    <m/>
    <m/>
    <m/>
    <m/>
    <m/>
    <m/>
    <m/>
    <m/>
    <m/>
    <m/>
    <m/>
    <m/>
    <m/>
    <m/>
    <m/>
    <m/>
    <m/>
    <m/>
    <m/>
    <m/>
    <m/>
    <m/>
    <m/>
    <m/>
    <m/>
    <m/>
    <m/>
    <m/>
    <m/>
    <m/>
    <m/>
  </r>
  <r>
    <x v="1"/>
    <x v="5"/>
    <x v="11"/>
    <x v="28"/>
    <x v="41"/>
    <m/>
    <m/>
    <m/>
    <m/>
    <m/>
    <m/>
    <m/>
    <m/>
    <m/>
    <m/>
    <m/>
    <m/>
    <m/>
    <m/>
    <m/>
    <m/>
    <m/>
    <m/>
    <m/>
    <m/>
    <m/>
    <m/>
    <m/>
    <m/>
    <m/>
    <m/>
    <m/>
    <m/>
    <m/>
    <m/>
    <m/>
    <m/>
    <m/>
    <m/>
    <m/>
    <m/>
    <m/>
    <m/>
    <m/>
    <m/>
    <m/>
    <m/>
    <m/>
    <m/>
    <m/>
    <m/>
    <m/>
    <m/>
    <m/>
    <m/>
    <m/>
    <m/>
    <m/>
  </r>
  <r>
    <x v="1"/>
    <x v="5"/>
    <x v="11"/>
    <x v="29"/>
    <x v="42"/>
    <m/>
    <m/>
    <m/>
    <m/>
    <m/>
    <m/>
    <m/>
    <m/>
    <m/>
    <m/>
    <m/>
    <m/>
    <m/>
    <m/>
    <m/>
    <m/>
    <m/>
    <m/>
    <m/>
    <m/>
    <m/>
    <m/>
    <m/>
    <m/>
    <m/>
    <m/>
    <m/>
    <m/>
    <m/>
    <m/>
    <m/>
    <m/>
    <m/>
    <m/>
    <m/>
    <m/>
    <m/>
    <m/>
    <m/>
    <m/>
    <m/>
    <m/>
    <m/>
    <m/>
    <m/>
    <m/>
    <m/>
    <m/>
    <m/>
    <m/>
    <m/>
    <m/>
    <m/>
  </r>
  <r>
    <x v="2"/>
    <x v="6"/>
    <x v="0"/>
    <x v="0"/>
    <x v="43"/>
    <m/>
    <m/>
    <m/>
    <m/>
    <m/>
    <m/>
    <m/>
    <m/>
    <m/>
    <m/>
    <m/>
    <m/>
    <m/>
    <m/>
    <m/>
    <m/>
    <m/>
    <m/>
    <m/>
    <m/>
    <m/>
    <m/>
    <m/>
    <m/>
    <m/>
    <m/>
    <m/>
    <m/>
    <m/>
    <m/>
    <m/>
    <m/>
    <m/>
    <m/>
    <m/>
    <m/>
    <m/>
    <m/>
    <m/>
    <m/>
    <m/>
    <m/>
    <m/>
    <m/>
    <m/>
    <m/>
    <m/>
    <m/>
    <m/>
    <m/>
    <m/>
    <m/>
    <m/>
  </r>
  <r>
    <x v="2"/>
    <x v="6"/>
    <x v="12"/>
    <x v="0"/>
    <x v="44"/>
    <s v="Enabling program"/>
    <s v="FMUs of Priority Districts"/>
    <m/>
    <m/>
    <m/>
    <m/>
    <m/>
    <m/>
    <m/>
    <m/>
    <m/>
    <m/>
    <m/>
    <m/>
    <m/>
    <m/>
    <m/>
    <m/>
    <m/>
    <m/>
    <m/>
    <m/>
    <m/>
    <m/>
    <m/>
    <m/>
    <m/>
    <m/>
    <m/>
    <m/>
    <m/>
    <m/>
    <m/>
    <m/>
    <m/>
    <m/>
    <m/>
    <m/>
    <m/>
    <m/>
    <m/>
    <m/>
    <m/>
    <m/>
    <m/>
    <m/>
    <m/>
    <m/>
    <m/>
    <m/>
    <m/>
    <m/>
    <m/>
  </r>
  <r>
    <x v="2"/>
    <x v="6"/>
    <x v="12"/>
    <x v="30"/>
    <x v="45"/>
    <s v="Enabling program"/>
    <s v="FMUs of Priority Districts"/>
    <n v="66475"/>
    <n v="25443"/>
    <n v="7258"/>
    <n v="500"/>
    <n v="215"/>
    <n v="3928"/>
    <n v="508"/>
    <n v="5"/>
    <n v="1786"/>
    <n v="528"/>
    <n v="0.56795741915643094"/>
    <n v="0.533940445400786"/>
    <n v="0.533940445400786"/>
    <n v="0.56795741915643094"/>
    <n v="0.6837284230655426"/>
    <n v="0.46493674275751751"/>
    <n v="0"/>
    <n v="0.46493674275751751"/>
    <n v="0.33170384438737244"/>
    <n v="0.16772301880352328"/>
    <n v="1.9878509670475084E-2"/>
    <n v="1.868791558902751E-2"/>
    <n v="1.868791558902751E-2"/>
    <n v="1.9878509670475084E-2"/>
    <n v="2.3930494807293992E-2"/>
    <n v="1.6272785996513113E-2"/>
    <n v="0"/>
    <n v="1.6272785996513113E-2"/>
    <n v="1.1609634553558037E-2"/>
    <n v="5.8703056581233155E-3"/>
    <n v="1321.4239303448312"/>
    <n v="475.47663633162693"/>
    <n v="135.63689134516167"/>
    <n v="9.9392548352375414"/>
    <n v="5.1450563835682086"/>
    <n v="63.919503394303511"/>
    <n v="0"/>
    <n v="8.1363929982565558E-2"/>
    <n v="20.734807312654652"/>
    <n v="3.0995213874891108"/>
    <n v="491674.3823202019"/>
    <n v="17934.007698334961"/>
    <n v="69040.971734583843"/>
    <n v="500.22281734783502"/>
    <n v="251.07875151812857"/>
    <n v="13288.357044752609"/>
    <n v="0"/>
    <n v="3.3684667012782139"/>
    <n v="7427.3565827151824"/>
    <n v="129.55764587478157"/>
    <n v="600249.30306203058"/>
  </r>
  <r>
    <x v="2"/>
    <x v="6"/>
    <x v="12"/>
    <x v="31"/>
    <x v="46"/>
    <s v="Enabling program"/>
    <s v="FMUs of Priority Districts"/>
    <n v="66475"/>
    <n v="25443"/>
    <n v="7258"/>
    <n v="500"/>
    <n v="215"/>
    <n v="3928"/>
    <n v="508"/>
    <n v="5"/>
    <n v="1786"/>
    <n v="528"/>
    <n v="0.56795741915643094"/>
    <n v="0.533940445400786"/>
    <n v="0.533940445400786"/>
    <n v="0.56795741915643094"/>
    <n v="0.6837284230655426"/>
    <n v="0.46493674275751751"/>
    <n v="0"/>
    <n v="0.46493674275751751"/>
    <n v="0.33170384438737244"/>
    <n v="0.16772301880352328"/>
    <n v="1.9878509670475084E-2"/>
    <n v="1.868791558902751E-2"/>
    <n v="1.868791558902751E-2"/>
    <n v="1.9878509670475084E-2"/>
    <n v="2.3930494807293992E-2"/>
    <n v="1.6272785996513113E-2"/>
    <n v="0"/>
    <n v="1.6272785996513113E-2"/>
    <n v="1.1609634553558037E-2"/>
    <n v="5.8703056581233155E-3"/>
    <n v="1321.4239303448312"/>
    <n v="475.47663633162693"/>
    <n v="135.63689134516167"/>
    <n v="9.9392548352375414"/>
    <n v="5.1450563835682086"/>
    <n v="63.919503394303511"/>
    <n v="0"/>
    <n v="8.1363929982565558E-2"/>
    <n v="20.734807312654652"/>
    <n v="3.0995213874891108"/>
    <n v="491674.3823202019"/>
    <n v="17934.007698334961"/>
    <n v="69040.971734583843"/>
    <n v="500.22281734783502"/>
    <n v="251.07875151812857"/>
    <n v="13288.357044752609"/>
    <n v="0"/>
    <n v="3.3684667012782139"/>
    <n v="7427.3565827151824"/>
    <n v="129.55764587478157"/>
    <n v="600249.30306203058"/>
  </r>
  <r>
    <x v="2"/>
    <x v="6"/>
    <x v="12"/>
    <x v="32"/>
    <x v="47"/>
    <s v="Enabling program"/>
    <s v="FMUs of Priority Districts"/>
    <n v="66475"/>
    <n v="25443"/>
    <n v="7258"/>
    <n v="500"/>
    <n v="215"/>
    <n v="3928"/>
    <n v="508"/>
    <n v="5"/>
    <n v="1786"/>
    <n v="528"/>
    <n v="0.56795741915643094"/>
    <n v="0.533940445400786"/>
    <n v="0.533940445400786"/>
    <n v="0.56795741915643094"/>
    <n v="0.6837284230655426"/>
    <n v="0.46493674275751751"/>
    <n v="0"/>
    <n v="0.46493674275751751"/>
    <n v="0.33170384438737244"/>
    <n v="0.16772301880352328"/>
    <n v="1.9878509670475084E-2"/>
    <n v="1.868791558902751E-2"/>
    <n v="1.868791558902751E-2"/>
    <n v="1.9878509670475084E-2"/>
    <n v="2.3930494807293992E-2"/>
    <n v="1.6272785996513113E-2"/>
    <n v="0"/>
    <n v="1.6272785996513113E-2"/>
    <n v="1.1609634553558037E-2"/>
    <n v="5.8703056581233155E-3"/>
    <n v="1321.4239303448312"/>
    <n v="475.47663633162693"/>
    <n v="135.63689134516167"/>
    <n v="9.9392548352375414"/>
    <n v="5.1450563835682086"/>
    <n v="63.919503394303511"/>
    <n v="0"/>
    <n v="8.1363929982565558E-2"/>
    <n v="20.734807312654652"/>
    <n v="3.0995213874891108"/>
    <n v="491674.3823202019"/>
    <n v="17934.007698334961"/>
    <n v="69040.971734583843"/>
    <n v="500.22281734783502"/>
    <n v="251.07875151812857"/>
    <n v="13288.357044752609"/>
    <n v="0"/>
    <n v="3.3684667012782139"/>
    <n v="7427.3565827151824"/>
    <n v="129.55764587478157"/>
    <n v="600249.30306203058"/>
  </r>
  <r>
    <x v="2"/>
    <x v="6"/>
    <x v="12"/>
    <x v="33"/>
    <x v="48"/>
    <s v="Direct mitigation3"/>
    <s v="FMUs of Priority Districts"/>
    <n v="66475"/>
    <n v="25443"/>
    <n v="7258"/>
    <n v="500"/>
    <n v="215"/>
    <n v="3928"/>
    <n v="508"/>
    <n v="5"/>
    <n v="1786"/>
    <n v="528"/>
    <n v="0.26971622008623608"/>
    <n v="0.1982994756570709"/>
    <n v="0.1982994756570709"/>
    <n v="0.26971622008623608"/>
    <n v="0.13065420585020121"/>
    <n v="0.37574188487837912"/>
    <n v="0"/>
    <n v="0.37574188487837912"/>
    <n v="0.10442856312845131"/>
    <n v="2.7345209391941527E-2"/>
    <n v="3.371452751077951E-2"/>
    <n v="2.4787434457133863E-2"/>
    <n v="2.4787434457133863E-2"/>
    <n v="3.371452751077951E-2"/>
    <n v="1.6331775731275151E-2"/>
    <n v="4.696773560979739E-2"/>
    <n v="0"/>
    <n v="4.696773560979739E-2"/>
    <n v="1.3053570391056413E-2"/>
    <n v="3.4181511739926908E-3"/>
    <n v="2241.1732162790681"/>
    <n v="630.66669489285687"/>
    <n v="179.90719928987758"/>
    <n v="16.857263755389756"/>
    <n v="3.5113317822241576"/>
    <n v="184.48926547528416"/>
    <n v="0"/>
    <n v="0.23483867804898695"/>
    <n v="23.313676718426755"/>
    <n v="1.8047838198681407"/>
    <n v="833893.97715768509"/>
    <n v="23787.459776264168"/>
    <n v="91575.144032255572"/>
    <n v="848.39237028125569"/>
    <n v="171.35299097253889"/>
    <n v="38353.852898960547"/>
    <n v="0"/>
    <n v="9.7223212712280596"/>
    <n v="8351.1260862414692"/>
    <n v="75.438596410018675"/>
    <n v="997066.46623034193"/>
  </r>
  <r>
    <x v="2"/>
    <x v="6"/>
    <x v="13"/>
    <x v="0"/>
    <x v="49"/>
    <m/>
    <m/>
    <m/>
    <m/>
    <m/>
    <m/>
    <m/>
    <m/>
    <m/>
    <m/>
    <m/>
    <m/>
    <m/>
    <m/>
    <m/>
    <m/>
    <m/>
    <m/>
    <m/>
    <m/>
    <m/>
    <m/>
    <m/>
    <m/>
    <m/>
    <m/>
    <m/>
    <m/>
    <m/>
    <m/>
    <m/>
    <m/>
    <m/>
    <m/>
    <m/>
    <m/>
    <m/>
    <m/>
    <m/>
    <m/>
    <m/>
    <m/>
    <m/>
    <m/>
    <m/>
    <m/>
    <m/>
    <m/>
    <m/>
    <m/>
    <m/>
    <m/>
    <m/>
  </r>
  <r>
    <x v="2"/>
    <x v="6"/>
    <x v="13"/>
    <x v="34"/>
    <x v="50"/>
    <m/>
    <m/>
    <m/>
    <m/>
    <m/>
    <m/>
    <m/>
    <m/>
    <m/>
    <m/>
    <m/>
    <m/>
    <m/>
    <m/>
    <m/>
    <m/>
    <m/>
    <m/>
    <m/>
    <m/>
    <m/>
    <m/>
    <m/>
    <m/>
    <m/>
    <m/>
    <m/>
    <m/>
    <m/>
    <m/>
    <m/>
    <m/>
    <m/>
    <m/>
    <m/>
    <m/>
    <m/>
    <m/>
    <m/>
    <m/>
    <m/>
    <m/>
    <m/>
    <m/>
    <m/>
    <m/>
    <m/>
    <m/>
    <m/>
    <m/>
    <m/>
    <m/>
    <m/>
  </r>
  <r>
    <x v="2"/>
    <x v="6"/>
    <x v="13"/>
    <x v="35"/>
    <x v="51"/>
    <m/>
    <m/>
    <m/>
    <m/>
    <m/>
    <m/>
    <m/>
    <m/>
    <m/>
    <m/>
    <m/>
    <m/>
    <m/>
    <m/>
    <m/>
    <m/>
    <m/>
    <m/>
    <m/>
    <m/>
    <m/>
    <m/>
    <m/>
    <m/>
    <m/>
    <m/>
    <m/>
    <m/>
    <m/>
    <m/>
    <m/>
    <m/>
    <m/>
    <m/>
    <m/>
    <m/>
    <m/>
    <m/>
    <m/>
    <m/>
    <m/>
    <m/>
    <m/>
    <m/>
    <m/>
    <m/>
    <m/>
    <m/>
    <m/>
    <m/>
    <m/>
    <m/>
    <m/>
  </r>
  <r>
    <x v="2"/>
    <x v="6"/>
    <x v="13"/>
    <x v="36"/>
    <x v="52"/>
    <m/>
    <m/>
    <m/>
    <m/>
    <m/>
    <m/>
    <m/>
    <m/>
    <m/>
    <m/>
    <m/>
    <m/>
    <m/>
    <m/>
    <m/>
    <m/>
    <m/>
    <m/>
    <m/>
    <m/>
    <m/>
    <m/>
    <m/>
    <m/>
    <m/>
    <m/>
    <m/>
    <m/>
    <m/>
    <m/>
    <m/>
    <m/>
    <m/>
    <m/>
    <m/>
    <m/>
    <m/>
    <m/>
    <m/>
    <m/>
    <m/>
    <m/>
    <m/>
    <m/>
    <m/>
    <m/>
    <m/>
    <m/>
    <m/>
    <m/>
    <m/>
    <m/>
    <m/>
  </r>
  <r>
    <x v="2"/>
    <x v="7"/>
    <x v="0"/>
    <x v="0"/>
    <x v="53"/>
    <m/>
    <m/>
    <m/>
    <m/>
    <m/>
    <m/>
    <m/>
    <m/>
    <m/>
    <m/>
    <m/>
    <m/>
    <m/>
    <m/>
    <m/>
    <m/>
    <m/>
    <m/>
    <m/>
    <m/>
    <m/>
    <m/>
    <m/>
    <m/>
    <m/>
    <m/>
    <m/>
    <m/>
    <m/>
    <m/>
    <m/>
    <m/>
    <m/>
    <m/>
    <m/>
    <m/>
    <m/>
    <m/>
    <m/>
    <m/>
    <m/>
    <m/>
    <m/>
    <m/>
    <m/>
    <m/>
    <m/>
    <m/>
    <m/>
    <m/>
    <m/>
    <m/>
    <m/>
  </r>
  <r>
    <x v="2"/>
    <x v="7"/>
    <x v="14"/>
    <x v="0"/>
    <x v="54"/>
    <s v="Enabling program"/>
    <s v="Community forests"/>
    <m/>
    <m/>
    <m/>
    <m/>
    <m/>
    <m/>
    <m/>
    <m/>
    <m/>
    <m/>
    <m/>
    <m/>
    <m/>
    <m/>
    <m/>
    <m/>
    <m/>
    <m/>
    <m/>
    <m/>
    <m/>
    <m/>
    <m/>
    <m/>
    <m/>
    <m/>
    <m/>
    <m/>
    <m/>
    <m/>
    <m/>
    <m/>
    <m/>
    <m/>
    <m/>
    <m/>
    <m/>
    <m/>
    <m/>
    <m/>
    <m/>
    <m/>
    <m/>
    <m/>
    <m/>
    <m/>
    <m/>
    <m/>
    <m/>
    <m/>
    <m/>
  </r>
  <r>
    <x v="2"/>
    <x v="7"/>
    <x v="14"/>
    <x v="37"/>
    <x v="55"/>
    <s v="Direct mitigation4"/>
    <s v="Community forests"/>
    <n v="66475"/>
    <n v="25443"/>
    <n v="7258"/>
    <n v="500"/>
    <n v="215"/>
    <n v="3928"/>
    <n v="508"/>
    <n v="5"/>
    <n v="1786"/>
    <n v="528"/>
    <n v="4.1278769031227909E-2"/>
    <n v="4.9054990519105349E-2"/>
    <n v="4.9054990519105349E-2"/>
    <n v="4.1278769031227909E-2"/>
    <n v="0.30173505566504666"/>
    <n v="1.047412096026603E-2"/>
    <n v="0"/>
    <n v="1.047412096026603E-2"/>
    <n v="2.0318608039790124E-2"/>
    <n v="1.6680284035027977E-2"/>
    <n v="1.8109723600443661E-2"/>
    <n v="2.1521289039683266E-2"/>
    <n v="2.1521289039683266E-2"/>
    <n v="1.8109723600443661E-2"/>
    <n v="0.1323764876448868"/>
    <n v="4.5951814940153237E-3"/>
    <n v="0"/>
    <n v="4.5951814940153237E-3"/>
    <n v="8.9141315059075975E-3"/>
    <n v="7.3179346317891894E-3"/>
    <n v="1203.8438763394925"/>
    <n v="547.56615703666137"/>
    <n v="156.20151585002114"/>
    <n v="9.0548618002218308"/>
    <n v="28.460944843650662"/>
    <n v="18.049872908492191"/>
    <n v="0"/>
    <n v="2.297590747007662E-2"/>
    <n v="15.920638869550968"/>
    <n v="3.8638694855846922"/>
    <n v="447925.28780277108"/>
    <n v="20653.077197244362"/>
    <n v="79508.637611408572"/>
    <n v="455.71308468156434"/>
    <n v="1388.8941083701523"/>
    <n v="3752.4252080129131"/>
    <n v="0"/>
    <n v="0.95120256926117208"/>
    <n v="5702.8869439564323"/>
    <n v="161.5068173235874"/>
    <n v="559549.37997633812"/>
  </r>
  <r>
    <x v="2"/>
    <x v="7"/>
    <x v="14"/>
    <x v="38"/>
    <x v="56"/>
    <s v="Enabling program"/>
    <s v="Community forests"/>
    <n v="66475"/>
    <n v="25443"/>
    <n v="7258"/>
    <n v="500"/>
    <n v="215"/>
    <n v="3928"/>
    <n v="508"/>
    <n v="5"/>
    <n v="1786"/>
    <n v="528"/>
    <n v="4.1278769031227909E-2"/>
    <n v="4.9054990519105349E-2"/>
    <n v="4.9054990519105349E-2"/>
    <n v="4.1278769031227909E-2"/>
    <n v="0.30173505566504666"/>
    <n v="1.047412096026603E-2"/>
    <n v="0"/>
    <n v="1.047412096026603E-2"/>
    <n v="2.0318608039790124E-2"/>
    <n v="1.6680284035027977E-2"/>
    <n v="1.444756916092977E-3"/>
    <n v="1.7169246681686874E-3"/>
    <n v="1.7169246681686874E-3"/>
    <n v="1.444756916092977E-3"/>
    <n v="1.0560726948276634E-2"/>
    <n v="3.6659423360931107E-4"/>
    <n v="0"/>
    <n v="3.6659423360931107E-4"/>
    <n v="7.1115128139265444E-4"/>
    <n v="5.8380994122597923E-4"/>
    <n v="96.040215997280654"/>
    <n v="43.683714332215914"/>
    <n v="12.461439241568334"/>
    <n v="0.72237845804648848"/>
    <n v="2.2705562938794763"/>
    <n v="1.4399821496173739"/>
    <n v="0"/>
    <n v="1.8329711680465555E-3"/>
    <n v="1.2701161885672809"/>
    <n v="0.30825164896731705"/>
    <n v="35734.568440908544"/>
    <n v="1647.6604932054261"/>
    <n v="6343.0373987264265"/>
    <n v="36.355863036563676"/>
    <n v="110.80314714131843"/>
    <n v="299.36085116536344"/>
    <n v="0"/>
    <n v="7.5885006357127388E-2"/>
    <n v="454.96472148120188"/>
    <n v="12.884685402857361"/>
    <n v="44639.711486074062"/>
  </r>
  <r>
    <x v="2"/>
    <x v="7"/>
    <x v="14"/>
    <x v="39"/>
    <x v="57"/>
    <s v="Enabling program"/>
    <s v="Community forests"/>
    <n v="66475"/>
    <n v="25443"/>
    <n v="7258"/>
    <n v="500"/>
    <n v="215"/>
    <n v="3928"/>
    <n v="508"/>
    <n v="5"/>
    <n v="1786"/>
    <n v="528"/>
    <n v="4.1278769031227909E-2"/>
    <n v="4.9054990519105349E-2"/>
    <n v="4.9054990519105349E-2"/>
    <n v="4.1278769031227909E-2"/>
    <n v="0.30173505566504666"/>
    <n v="1.047412096026603E-2"/>
    <n v="0"/>
    <n v="1.047412096026603E-2"/>
    <n v="2.0318608039790124E-2"/>
    <n v="1.6680284035027977E-2"/>
    <n v="1.444756916092977E-3"/>
    <n v="1.7169246681686874E-3"/>
    <n v="1.7169246681686874E-3"/>
    <n v="1.444756916092977E-3"/>
    <n v="1.0560726948276634E-2"/>
    <n v="3.6659423360931107E-4"/>
    <n v="0"/>
    <n v="3.6659423360931107E-4"/>
    <n v="7.1115128139265444E-4"/>
    <n v="5.8380994122597923E-4"/>
    <n v="96.040215997280654"/>
    <n v="43.683714332215914"/>
    <n v="12.461439241568334"/>
    <n v="0.72237845804648848"/>
    <n v="2.2705562938794763"/>
    <n v="1.4399821496173739"/>
    <n v="0"/>
    <n v="1.8329711680465555E-3"/>
    <n v="1.2701161885672809"/>
    <n v="0.30825164896731705"/>
    <n v="35734.568440908544"/>
    <n v="1647.6604932054261"/>
    <n v="6343.0373987264265"/>
    <n v="36.355863036563676"/>
    <n v="110.80314714131843"/>
    <n v="299.36085116536344"/>
    <n v="0"/>
    <n v="7.5885006357127388E-2"/>
    <n v="454.96472148120188"/>
    <n v="12.884685402857361"/>
    <n v="44639.711486074062"/>
  </r>
  <r>
    <x v="2"/>
    <x v="7"/>
    <x v="14"/>
    <x v="40"/>
    <x v="58"/>
    <s v="Direct mitigation5"/>
    <s v="Priority districts"/>
    <n v="66475"/>
    <n v="25443"/>
    <n v="7258"/>
    <n v="500"/>
    <n v="215"/>
    <n v="3928"/>
    <n v="508"/>
    <n v="5"/>
    <n v="1786"/>
    <n v="528"/>
    <n v="0.69570923014441111"/>
    <n v="0.55195016569647226"/>
    <n v="0.55195016569647226"/>
    <n v="0.69570923014441111"/>
    <n v="0.63961834455866451"/>
    <n v="0.85291267082773314"/>
    <n v="0"/>
    <n v="0.85291267082773314"/>
    <n v="0.19276739080959265"/>
    <n v="0.23775707599687529"/>
    <n v="9.8334421685792716E-3"/>
    <n v="7.8014920589559878E-3"/>
    <n v="7.8014920589559878E-3"/>
    <n v="9.8334421685792716E-3"/>
    <n v="9.0406303792670267E-3"/>
    <n v="1.2055420655684081E-2"/>
    <n v="0"/>
    <n v="1.2055420655684081E-2"/>
    <n v="2.7246540758422574E-3"/>
    <n v="3.3605569046431631E-3"/>
    <n v="653.67806815630706"/>
    <n v="198.49336245601719"/>
    <n v="56.62322936390256"/>
    <n v="4.9167210842896356"/>
    <n v="1.9437355315424107"/>
    <n v="47.353692335527072"/>
    <n v="0"/>
    <n v="6.0277103278420403E-2"/>
    <n v="4.866232179454272"/>
    <n v="1.7743740456515902"/>
    <n v="243220.02426060595"/>
    <n v="7486.7642663135848"/>
    <n v="28821.972689464063"/>
    <n v="247.44873873012881"/>
    <n v="94.854293939269638"/>
    <n v="9844.4565074316215"/>
    <n v="0"/>
    <n v="2.4954720757266045"/>
    <n v="1743.119242252691"/>
    <n v="74.167490885474606"/>
    <n v="291535.30296169844"/>
  </r>
  <r>
    <x v="2"/>
    <x v="7"/>
    <x v="14"/>
    <x v="41"/>
    <x v="59"/>
    <s v="Adaptation"/>
    <s v="Priority villages"/>
    <n v="66475"/>
    <n v="25443"/>
    <n v="7258"/>
    <n v="500"/>
    <n v="215"/>
    <n v="3928"/>
    <n v="508"/>
    <n v="5"/>
    <n v="1786"/>
    <n v="528"/>
    <n v="0.69570923014441111"/>
    <n v="0.55195016569647226"/>
    <n v="0.55195016569647226"/>
    <n v="0.69570923014441111"/>
    <n v="0.63961834455866451"/>
    <n v="0.85291267082773314"/>
    <n v="0"/>
    <n v="0.85291267082773314"/>
    <n v="0.19276739080959265"/>
    <n v="0.23775707599687529"/>
    <n v="0"/>
    <n v="0"/>
    <n v="0"/>
    <n v="0"/>
    <n v="0"/>
    <n v="0"/>
    <n v="0"/>
    <n v="0"/>
    <n v="0"/>
    <n v="0"/>
    <n v="0"/>
    <n v="0"/>
    <n v="0"/>
    <n v="0"/>
    <n v="0"/>
    <n v="0"/>
    <n v="0"/>
    <n v="0"/>
    <n v="0"/>
    <n v="0"/>
    <n v="0"/>
    <n v="0"/>
    <n v="0"/>
    <n v="0"/>
    <n v="0"/>
    <n v="0"/>
    <n v="0"/>
    <n v="0"/>
    <n v="0"/>
    <n v="0"/>
    <n v="0"/>
  </r>
  <r>
    <x v="2"/>
    <x v="7"/>
    <x v="14"/>
    <x v="42"/>
    <x v="60"/>
    <s v="Enabling program"/>
    <s v="Priority villages"/>
    <n v="66475"/>
    <n v="25443"/>
    <n v="7258"/>
    <n v="500"/>
    <n v="215"/>
    <n v="3928"/>
    <n v="508"/>
    <n v="5"/>
    <n v="1786"/>
    <n v="528"/>
    <n v="0.69570923014441111"/>
    <n v="0.55195016569647226"/>
    <n v="0.55195016569647226"/>
    <n v="0.69570923014441111"/>
    <n v="0.63961834455866451"/>
    <n v="0.85291267082773314"/>
    <n v="0"/>
    <n v="0.85291267082773314"/>
    <n v="0.19276739080959265"/>
    <n v="0.23775707599687529"/>
    <n v="2.4349823055054391E-2"/>
    <n v="1.931825579937653E-2"/>
    <n v="1.931825579937653E-2"/>
    <n v="2.4349823055054391E-2"/>
    <n v="2.238664205955326E-2"/>
    <n v="2.9851943478970664E-2"/>
    <n v="0"/>
    <n v="2.9851943478970664E-2"/>
    <n v="6.7468586783357432E-3"/>
    <n v="8.3214976598906358E-3"/>
    <n v="1618.6544875847408"/>
    <n v="491.51438230353705"/>
    <n v="140.21190059187487"/>
    <n v="12.174911527527195"/>
    <n v="4.8131280428039505"/>
    <n v="117.25843398539676"/>
    <n v="0"/>
    <n v="0.14925971739485333"/>
    <n v="12.049889599507637"/>
    <n v="4.393750764422256"/>
    <n v="602267.69554973149"/>
    <n v="18538.918723918079"/>
    <n v="71369.711953821054"/>
    <n v="612.73894735738872"/>
    <n v="234.88064848883278"/>
    <n v="24377.097044927443"/>
    <n v="0"/>
    <n v="6.1793523001469275"/>
    <n v="4316.3568143347184"/>
    <n v="183.65545335378633"/>
    <n v="721907.23448823288"/>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2.xml"/></Relationships>
</file>

<file path=xl/pivotTables/_rels/pivotTable2.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3.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4.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5.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6.xml.rels><?xml version="1.0" encoding="UTF-8" standalone="yes"?>
<Relationships xmlns="http://schemas.openxmlformats.org/package/2006/relationships"><Relationship Id="rId1" Type="http://schemas.openxmlformats.org/officeDocument/2006/relationships/pivotCacheDefinition" Target="../pivotCache/pivotCacheDefinition2.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21C05711-B1FD-4D7E-87DD-28B2F2605044}" name="PivotTable9" cacheId="3" dataOnRows="1" applyNumberFormats="0" applyBorderFormats="0" applyFontFormats="0" applyPatternFormats="0" applyAlignmentFormats="0" applyWidthHeightFormats="1" dataCaption="Values" updatedVersion="8" minRefreshableVersion="3" useAutoFormatting="1" rowGrandTotals="0" colGrandTotals="0" itemPrintTitles="1" createdVersion="8" indent="0" compact="0" outline="1" outlineData="1" compactData="0" multipleFieldFilters="0" rowHeaderCaption="SubActivity">
  <location ref="C123:F134" firstHeaderRow="1" firstDataRow="2" firstDataCol="1" rowPageCount="2" colPageCount="1"/>
  <pivotFields count="58">
    <pivotField axis="axisCol" compact="0" showAll="0">
      <items count="4">
        <item x="0"/>
        <item x="1"/>
        <item x="2"/>
        <item t="default"/>
      </items>
    </pivotField>
    <pivotField compact="0" showAll="0">
      <items count="9">
        <item x="2"/>
        <item x="1"/>
        <item x="5"/>
        <item x="6"/>
        <item x="7"/>
        <item x="0"/>
        <item x="3"/>
        <item x="4"/>
        <item t="default"/>
      </items>
    </pivotField>
    <pivotField axis="axisPage" compact="0" multipleItemSelectionAllowed="1" showAll="0">
      <items count="16">
        <item h="1" x="2"/>
        <item h="1" x="0"/>
        <item x="1"/>
        <item x="3"/>
        <item x="4"/>
        <item x="5"/>
        <item x="6"/>
        <item x="7"/>
        <item x="8"/>
        <item x="9"/>
        <item x="12"/>
        <item x="13"/>
        <item x="14"/>
        <item x="10"/>
        <item x="11"/>
        <item t="default"/>
      </items>
    </pivotField>
    <pivotField compact="0" multipleItemSelectionAllowed="1" showAll="0">
      <items count="44">
        <item x="4"/>
        <item h="1" x="0"/>
        <item h="1" x="1"/>
        <item h="1" x="2"/>
        <item h="1" x="3"/>
        <item h="1" x="5"/>
        <item h="1" x="6"/>
        <item h="1" x="7"/>
        <item h="1" x="8"/>
        <item h="1" x="9"/>
        <item h="1" x="10"/>
        <item h="1" x="11"/>
        <item h="1" x="12"/>
        <item h="1" x="13"/>
        <item h="1" x="14"/>
        <item h="1" x="15"/>
        <item h="1" x="16"/>
        <item h="1" x="17"/>
        <item h="1" x="18"/>
        <item h="1" x="19"/>
        <item h="1" x="20"/>
        <item h="1" x="21"/>
        <item h="1" x="22"/>
        <item h="1" x="30"/>
        <item h="1" x="31"/>
        <item h="1" x="32"/>
        <item h="1" x="33"/>
        <item h="1" x="34"/>
        <item h="1" x="35"/>
        <item h="1" x="36"/>
        <item h="1" x="37"/>
        <item h="1" x="38"/>
        <item h="1" x="39"/>
        <item h="1" x="40"/>
        <item h="1" x="23"/>
        <item h="1" x="24"/>
        <item h="1" x="25"/>
        <item h="1" x="26"/>
        <item h="1" x="27"/>
        <item h="1" x="28"/>
        <item h="1" x="29"/>
        <item h="1" x="41"/>
        <item h="1" x="42"/>
        <item t="default"/>
      </items>
    </pivotField>
    <pivotField axis="axisPage" compact="0" showAll="0">
      <items count="62">
        <item x="60"/>
        <item x="8"/>
        <item x="56"/>
        <item x="5"/>
        <item x="9"/>
        <item x="6"/>
        <item x="14"/>
        <item x="20"/>
        <item x="54"/>
        <item x="4"/>
        <item x="57"/>
        <item x="55"/>
        <item x="18"/>
        <item x="59"/>
        <item x="3"/>
        <item x="45"/>
        <item x="13"/>
        <item x="33"/>
        <item x="29"/>
        <item x="2"/>
        <item x="19"/>
        <item x="11"/>
        <item x="1"/>
        <item x="7"/>
        <item x="12"/>
        <item x="16"/>
        <item x="10"/>
        <item x="58"/>
        <item x="0"/>
        <item x="15"/>
        <item x="17"/>
        <item x="21"/>
        <item x="22"/>
        <item x="23"/>
        <item x="24"/>
        <item x="25"/>
        <item x="26"/>
        <item x="27"/>
        <item x="28"/>
        <item x="30"/>
        <item x="31"/>
        <item x="32"/>
        <item x="34"/>
        <item x="43"/>
        <item x="44"/>
        <item x="46"/>
        <item x="47"/>
        <item x="48"/>
        <item x="49"/>
        <item x="50"/>
        <item x="51"/>
        <item x="52"/>
        <item x="53"/>
        <item x="35"/>
        <item x="36"/>
        <item x="37"/>
        <item x="38"/>
        <item x="39"/>
        <item x="40"/>
        <item x="41"/>
        <item x="42"/>
        <item t="default"/>
      </items>
    </pivotField>
    <pivotField compact="0" showAll="0"/>
    <pivotField compact="0" showAll="0"/>
    <pivotField compact="0" showAll="0"/>
    <pivotField compact="0" showAll="0"/>
    <pivotField compact="0" showAll="0"/>
    <pivotField compact="0" showAll="0"/>
    <pivotField compact="0" showAll="0"/>
    <pivotField compact="0" showAll="0"/>
    <pivotField compact="0" showAll="0"/>
    <pivotField compact="0" showAll="0"/>
    <pivotField compact="0" showAll="0"/>
    <pivotField compact="0" showAll="0"/>
    <pivotField compact="0" showAll="0"/>
    <pivotField compact="0" showAll="0"/>
    <pivotField compact="0" showAll="0"/>
    <pivotField compact="0" showAll="0"/>
    <pivotField compact="0" showAll="0"/>
    <pivotField compact="0" showAll="0"/>
    <pivotField compact="0" showAll="0"/>
    <pivotField compact="0" showAll="0"/>
    <pivotField compact="0" showAll="0"/>
    <pivotField compact="0" showAll="0"/>
    <pivotField dataField="1" compact="0" showAll="0"/>
    <pivotField dataField="1" compact="0" showAll="0"/>
    <pivotField dataField="1" compact="0" showAll="0"/>
    <pivotField dataField="1" compact="0" showAll="0"/>
    <pivotField dataField="1" compact="0" showAll="0"/>
    <pivotField dataField="1" compact="0" showAll="0"/>
    <pivotField dataField="1" compact="0" showAll="0"/>
    <pivotField dataField="1" compact="0" showAll="0"/>
    <pivotField dataField="1" compact="0" showAll="0"/>
    <pivotField dataField="1" compact="0" showAll="0"/>
    <pivotField compact="0" showAll="0"/>
    <pivotField compact="0" showAll="0"/>
    <pivotField compact="0" showAll="0"/>
    <pivotField compact="0" showAll="0"/>
    <pivotField compact="0" showAll="0"/>
    <pivotField compact="0" showAll="0"/>
    <pivotField compact="0" showAll="0"/>
    <pivotField compact="0" showAll="0"/>
    <pivotField compact="0" showAll="0"/>
    <pivotField compact="0" showAll="0"/>
    <pivotField compact="0" showAll="0"/>
    <pivotField compact="0" showAll="0"/>
    <pivotField compact="0" showAll="0"/>
    <pivotField compact="0" showAll="0"/>
    <pivotField compact="0" showAll="0"/>
    <pivotField compact="0" showAll="0"/>
    <pivotField compact="0" showAll="0"/>
    <pivotField compact="0" showAll="0"/>
    <pivotField compact="0" showAll="0"/>
    <pivotField compact="0" showAll="0"/>
    <pivotField compact="0" showAll="0"/>
  </pivotFields>
  <rowFields count="1">
    <field x="-2"/>
  </rowFields>
  <rowItems count="10">
    <i>
      <x/>
    </i>
    <i i="1">
      <x v="1"/>
    </i>
    <i i="2">
      <x v="2"/>
    </i>
    <i i="3">
      <x v="3"/>
    </i>
    <i i="4">
      <x v="4"/>
    </i>
    <i i="5">
      <x v="5"/>
    </i>
    <i i="6">
      <x v="6"/>
    </i>
    <i i="7">
      <x v="7"/>
    </i>
    <i i="8">
      <x v="8"/>
    </i>
    <i i="9">
      <x v="9"/>
    </i>
  </rowItems>
  <colFields count="1">
    <field x="0"/>
  </colFields>
  <colItems count="3">
    <i>
      <x/>
    </i>
    <i>
      <x v="1"/>
    </i>
    <i>
      <x v="2"/>
    </i>
  </colItems>
  <pageFields count="2">
    <pageField fld="4" hier="-1"/>
    <pageField fld="2" hier="-1"/>
  </pageFields>
  <dataFields count="10">
    <dataField name="Sum of EFF-Deforestation Emission  - Biomass" fld="27" baseField="0" baseItem="0"/>
    <dataField name="Sum of EFF-Peat Decomposition Emission (in deforested area)" fld="28" baseField="0" baseItem="0"/>
    <dataField name="Sum of EFF-Peat fire emission" fld="29" baseField="0" baseItem="0"/>
    <dataField name="Sum of EFF-AGB+DOM fire emission (in deforested area)" fld="30" baseField="0" baseItem="0"/>
    <dataField name="Sum of EFF-Mangrove soil emissions (in deforested area)" fld="31" baseField="0" baseItem="0"/>
    <dataField name="Sum of EFF-Forest degradation emission - Biomass" fld="32" baseField="0" baseItem="0"/>
    <dataField name="Sum of EFF-Peat Decomposition Emission (in forest degraded area)" fld="33" baseField="0" baseItem="0"/>
    <dataField name="Sum of EFF-AGB+DOM fire emission (in forest degraded area)" fld="34" baseField="0" baseItem="0"/>
    <dataField name="Sum of EFF-Enhance of forest carbon stock (EFCS) - Biomass" fld="35" baseField="0" baseItem="0"/>
    <dataField name="Sum of EFF-Peat Decomposition Emission (in EFCS area)" fld="36" baseField="0" baseItem="0"/>
  </dataFields>
  <formats count="11">
    <format dxfId="10">
      <pivotArea outline="0" collapsedLevelsAreSubtotals="1" fieldPosition="0"/>
    </format>
    <format dxfId="9">
      <pivotArea dataOnly="0" labelOnly="1" outline="0" axis="axisValues" fieldPosition="0"/>
    </format>
    <format dxfId="8">
      <pivotArea type="all" dataOnly="0" outline="0" fieldPosition="0"/>
    </format>
    <format dxfId="7">
      <pivotArea outline="0" collapsedLevelsAreSubtotals="1" fieldPosition="0"/>
    </format>
    <format dxfId="6">
      <pivotArea field="2" type="button" dataOnly="0" labelOnly="1" outline="0" axis="axisPage" fieldPosition="1"/>
    </format>
    <format dxfId="5">
      <pivotArea field="3" type="button" dataOnly="0" labelOnly="1" outline="0"/>
    </format>
    <format dxfId="4">
      <pivotArea field="4" type="button" dataOnly="0" labelOnly="1" outline="0" axis="axisPage" fieldPosition="0"/>
    </format>
    <format dxfId="3">
      <pivotArea dataOnly="0" labelOnly="1" outline="0" fieldPosition="0">
        <references count="1">
          <reference field="2" count="1">
            <x v="0"/>
          </reference>
        </references>
      </pivotArea>
    </format>
    <format dxfId="2">
      <pivotArea dataOnly="0" labelOnly="1" outline="0" axis="axisValues" fieldPosition="0"/>
    </format>
    <format dxfId="1">
      <pivotArea outline="0" collapsedLevelsAreSubtotals="1" fieldPosition="0"/>
    </format>
    <format dxfId="0">
      <pivotArea fieldPosition="0">
        <references count="1">
          <reference field="4294967294" count="1">
            <x v="6"/>
          </reference>
        </references>
      </pivotArea>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2.xml><?xml version="1.0" encoding="utf-8"?>
<pivotTableDefinition xmlns="http://schemas.openxmlformats.org/spreadsheetml/2006/main" xmlns:mc="http://schemas.openxmlformats.org/markup-compatibility/2006" xmlns:xr="http://schemas.microsoft.com/office/spreadsheetml/2014/revision" mc:Ignorable="xr" xr:uid="{A39ED612-3B2E-40DC-ADE4-08741596809C}" name="PivotTable8" cacheId="2" applyNumberFormats="0" applyBorderFormats="0" applyFontFormats="0" applyPatternFormats="0" applyAlignmentFormats="0" applyWidthHeightFormats="1" dataCaption="Values" updatedVersion="8" minRefreshableVersion="3" useAutoFormatting="1" rowGrandTotals="0" colGrandTotals="0" itemPrintTitles="1" createdVersion="8" indent="0" compact="0" outline="1" outlineData="1" compactData="0" multipleFieldFilters="0" rowHeaderCaption="SubActivity">
  <location ref="C93:M96" firstHeaderRow="0" firstDataRow="1" firstDataCol="1" rowPageCount="3" colPageCount="1"/>
  <pivotFields count="58">
    <pivotField axis="axisRow" compact="0" showAll="0">
      <items count="5">
        <item x="0"/>
        <item x="1"/>
        <item x="2"/>
        <item m="1" x="3"/>
        <item t="default"/>
      </items>
    </pivotField>
    <pivotField axis="axisPage" compact="0" multipleItemSelectionAllowed="1" showAll="0">
      <items count="14">
        <item h="1" x="2"/>
        <item m="1" x="9"/>
        <item m="1" x="10"/>
        <item x="1"/>
        <item m="1" x="11"/>
        <item m="1" x="12"/>
        <item x="5"/>
        <item x="6"/>
        <item m="1" x="8"/>
        <item x="7"/>
        <item h="1" x="0"/>
        <item x="3"/>
        <item x="4"/>
        <item t="default"/>
      </items>
    </pivotField>
    <pivotField axis="axisPage" compact="0" multipleItemSelectionAllowed="1" showAll="0">
      <items count="22">
        <item x="2"/>
        <item m="1" x="15"/>
        <item x="0"/>
        <item m="1" x="16"/>
        <item x="1"/>
        <item x="3"/>
        <item x="4"/>
        <item x="5"/>
        <item m="1" x="17"/>
        <item x="6"/>
        <item m="1" x="18"/>
        <item x="7"/>
        <item x="8"/>
        <item x="9"/>
        <item m="1" x="19"/>
        <item x="12"/>
        <item x="13"/>
        <item m="1" x="20"/>
        <item x="14"/>
        <item x="10"/>
        <item x="11"/>
        <item t="default"/>
      </items>
    </pivotField>
    <pivotField compact="0" multipleItemSelectionAllowed="1" showAll="0">
      <items count="48">
        <item x="4"/>
        <item m="1" x="45"/>
        <item m="1" x="46"/>
        <item h="1" x="0"/>
        <item h="1" x="1"/>
        <item h="1" x="2"/>
        <item h="1" x="3"/>
        <item h="1" x="5"/>
        <item h="1" x="6"/>
        <item h="1" x="7"/>
        <item h="1" x="8"/>
        <item h="1" x="9"/>
        <item h="1" x="10"/>
        <item h="1" x="11"/>
        <item h="1" x="12"/>
        <item h="1" x="13"/>
        <item h="1" x="14"/>
        <item h="1" x="15"/>
        <item h="1" x="16"/>
        <item h="1" x="17"/>
        <item h="1" x="18"/>
        <item h="1" x="19"/>
        <item h="1" x="20"/>
        <item h="1" x="21"/>
        <item h="1" x="22"/>
        <item h="1" x="30"/>
        <item h="1" x="31"/>
        <item h="1" x="32"/>
        <item h="1" x="33"/>
        <item h="1" x="34"/>
        <item h="1" x="35"/>
        <item h="1" x="36"/>
        <item h="1" x="37"/>
        <item h="1" x="38"/>
        <item h="1" x="39"/>
        <item h="1" x="40"/>
        <item h="1" x="23"/>
        <item h="1" x="24"/>
        <item h="1" x="25"/>
        <item h="1" x="26"/>
        <item h="1" x="27"/>
        <item h="1" x="28"/>
        <item h="1" x="29"/>
        <item h="1" x="41"/>
        <item h="1" x="42"/>
        <item h="1" x="43"/>
        <item h="1" x="44"/>
        <item t="default"/>
      </items>
    </pivotField>
    <pivotField axis="axisPage" compact="0" showAll="0">
      <items count="64">
        <item x="60"/>
        <item x="8"/>
        <item x="56"/>
        <item x="5"/>
        <item x="9"/>
        <item x="6"/>
        <item x="14"/>
        <item x="20"/>
        <item x="54"/>
        <item x="4"/>
        <item x="57"/>
        <item x="55"/>
        <item x="18"/>
        <item x="59"/>
        <item x="3"/>
        <item x="45"/>
        <item x="13"/>
        <item x="33"/>
        <item x="29"/>
        <item x="2"/>
        <item x="19"/>
        <item x="11"/>
        <item x="1"/>
        <item x="7"/>
        <item x="12"/>
        <item x="16"/>
        <item x="10"/>
        <item x="58"/>
        <item x="0"/>
        <item x="15"/>
        <item x="17"/>
        <item x="21"/>
        <item x="22"/>
        <item x="23"/>
        <item x="24"/>
        <item x="25"/>
        <item x="26"/>
        <item x="27"/>
        <item x="28"/>
        <item x="30"/>
        <item x="31"/>
        <item x="32"/>
        <item x="34"/>
        <item x="43"/>
        <item x="44"/>
        <item x="46"/>
        <item x="47"/>
        <item x="48"/>
        <item x="49"/>
        <item x="50"/>
        <item x="51"/>
        <item x="52"/>
        <item x="53"/>
        <item x="35"/>
        <item x="36"/>
        <item x="37"/>
        <item x="38"/>
        <item x="39"/>
        <item x="40"/>
        <item x="41"/>
        <item x="42"/>
        <item x="61"/>
        <item x="62"/>
        <item t="default"/>
      </items>
    </pivotField>
    <pivotField compact="0" showAll="0"/>
    <pivotField compact="0" showAll="0"/>
    <pivotField compact="0" showAll="0"/>
    <pivotField compact="0" showAll="0"/>
    <pivotField compact="0" showAll="0"/>
    <pivotField compact="0" showAll="0"/>
    <pivotField compact="0" showAll="0"/>
    <pivotField compact="0" showAll="0"/>
    <pivotField compact="0" showAll="0"/>
    <pivotField compact="0" showAll="0"/>
    <pivotField compact="0" showAll="0"/>
    <pivotField compact="0" showAll="0"/>
    <pivotField compact="0" showAll="0"/>
    <pivotField compact="0" showAll="0"/>
    <pivotField compact="0" showAll="0"/>
    <pivotField compact="0" showAll="0"/>
    <pivotField compact="0" showAll="0"/>
    <pivotField compact="0" showAll="0"/>
    <pivotField compact="0" showAll="0"/>
    <pivotField compact="0" showAll="0"/>
    <pivotField compact="0" showAll="0"/>
    <pivotField compact="0" showAll="0"/>
    <pivotField compact="0" showAll="0"/>
    <pivotField compact="0" showAll="0"/>
    <pivotField compact="0" showAll="0"/>
    <pivotField compact="0" showAll="0"/>
    <pivotField compact="0" showAll="0"/>
    <pivotField compact="0" showAll="0"/>
    <pivotField compact="0" showAll="0"/>
    <pivotField compact="0" showAll="0"/>
    <pivotField compact="0" showAll="0"/>
    <pivotField compact="0" showAll="0"/>
    <pivotField compact="0" showAll="0"/>
    <pivotField compact="0" showAll="0"/>
    <pivotField compact="0" showAll="0"/>
    <pivotField compact="0" showAll="0"/>
    <pivotField compact="0" showAll="0"/>
    <pivotField compact="0" showAll="0"/>
    <pivotField compact="0" showAll="0"/>
    <pivotField compact="0" showAll="0"/>
    <pivotField compact="0" showAll="0"/>
    <pivotField compact="0" showAll="0"/>
    <pivotField dataField="1" compact="0" showAll="0"/>
    <pivotField dataField="1" compact="0" showAll="0"/>
    <pivotField dataField="1" compact="0" showAll="0"/>
    <pivotField dataField="1" compact="0" showAll="0"/>
    <pivotField dataField="1" compact="0" showAll="0"/>
    <pivotField dataField="1" compact="0" showAll="0"/>
    <pivotField dataField="1" compact="0" showAll="0"/>
    <pivotField dataField="1" compact="0" showAll="0"/>
    <pivotField dataField="1" compact="0" showAll="0"/>
    <pivotField dataField="1" compact="0" showAll="0"/>
    <pivotField compact="0" showAll="0"/>
  </pivotFields>
  <rowFields count="1">
    <field x="0"/>
  </rowFields>
  <rowItems count="3">
    <i>
      <x/>
    </i>
    <i>
      <x v="1"/>
    </i>
    <i>
      <x v="2"/>
    </i>
  </rowItems>
  <colFields count="1">
    <field x="-2"/>
  </colFields>
  <colItems count="10">
    <i>
      <x/>
    </i>
    <i i="1">
      <x v="1"/>
    </i>
    <i i="2">
      <x v="2"/>
    </i>
    <i i="3">
      <x v="3"/>
    </i>
    <i i="4">
      <x v="4"/>
    </i>
    <i i="5">
      <x v="5"/>
    </i>
    <i i="6">
      <x v="6"/>
    </i>
    <i i="7">
      <x v="7"/>
    </i>
    <i i="8">
      <x v="8"/>
    </i>
    <i i="9">
      <x v="9"/>
    </i>
  </colItems>
  <pageFields count="3">
    <pageField fld="4" hier="-1"/>
    <pageField fld="2" hier="-1"/>
    <pageField fld="1" hier="-1"/>
  </pageFields>
  <dataFields count="10">
    <dataField name="Sum of ER-Deforestation Emission  - Biomass" fld="47" baseField="0" baseItem="0"/>
    <dataField name="Sum of ER-Peat Decomposition Emission (in deforested area)" fld="48" baseField="0" baseItem="0"/>
    <dataField name="Sum of ER-Peat fire emission" fld="49" baseField="0" baseItem="0"/>
    <dataField name="Sum of ER-AGB+DOM fire emission (in deforested area)" fld="50" baseField="0" baseItem="0"/>
    <dataField name="Sum of ER-Mangrove soil emissions (in deforested area)" fld="51" baseField="0" baseItem="0"/>
    <dataField name="Sum of ER-AGB+DOM fire emission (in forest degraded area)" fld="54" baseField="0" baseItem="0"/>
    <dataField name="Sum of ER-Peat Decomposition Emission (in forest degraded area)" fld="53" baseField="0" baseItem="0"/>
    <dataField name="Sum of ER-Forest degradation emission - Biomass" fld="52" baseField="0" baseItem="0"/>
    <dataField name="Sum of ER-Enhance of forest carbon stock (EFCS) - Biomass" fld="55" baseField="0" baseItem="0"/>
    <dataField name="Sum of ER-Peat Decomposition Emission (in EFCS area)" fld="56" baseField="0" baseItem="0"/>
  </dataFields>
  <formats count="9">
    <format dxfId="19">
      <pivotArea outline="0" collapsedLevelsAreSubtotals="1" fieldPosition="0"/>
    </format>
    <format dxfId="18">
      <pivotArea dataOnly="0" labelOnly="1" outline="0" axis="axisValues" fieldPosition="0"/>
    </format>
    <format dxfId="17">
      <pivotArea type="all" dataOnly="0" outline="0" fieldPosition="0"/>
    </format>
    <format dxfId="16">
      <pivotArea outline="0" collapsedLevelsAreSubtotals="1" fieldPosition="0"/>
    </format>
    <format dxfId="15">
      <pivotArea field="2" type="button" dataOnly="0" labelOnly="1" outline="0" axis="axisPage" fieldPosition="1"/>
    </format>
    <format dxfId="14">
      <pivotArea field="3" type="button" dataOnly="0" labelOnly="1" outline="0"/>
    </format>
    <format dxfId="13">
      <pivotArea field="4" type="button" dataOnly="0" labelOnly="1" outline="0" axis="axisPage" fieldPosition="0"/>
    </format>
    <format dxfId="12">
      <pivotArea dataOnly="0" labelOnly="1" outline="0" fieldPosition="0">
        <references count="1">
          <reference field="2" count="2">
            <x v="0"/>
            <x v="1"/>
          </reference>
        </references>
      </pivotArea>
    </format>
    <format dxfId="11">
      <pivotArea dataOnly="0" labelOnly="1" outline="0" axis="axisValues" fieldPosition="0"/>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3.xml><?xml version="1.0" encoding="utf-8"?>
<pivotTableDefinition xmlns="http://schemas.openxmlformats.org/spreadsheetml/2006/main" xmlns:mc="http://schemas.openxmlformats.org/markup-compatibility/2006" xmlns:xr="http://schemas.microsoft.com/office/spreadsheetml/2014/revision" mc:Ignorable="xr" xr:uid="{80A4360E-C4F2-496D-8D32-64EC0E4E5E6F}" name="PivotTable7" cacheId="2" applyNumberFormats="0" applyBorderFormats="0" applyFontFormats="0" applyPatternFormats="0" applyAlignmentFormats="0" applyWidthHeightFormats="1" dataCaption="Values" updatedVersion="8" minRefreshableVersion="3" useAutoFormatting="1" rowGrandTotals="0" colGrandTotals="0" itemPrintTitles="1" createdVersion="8" indent="0" compact="0" outline="1" outlineData="1" compactData="0" multipleFieldFilters="0" rowHeaderCaption="SubActivity">
  <location ref="G11:J35" firstHeaderRow="1" firstDataRow="1" firstDataCol="3" rowPageCount="1" colPageCount="1"/>
  <pivotFields count="58">
    <pivotField axis="axisRow" compact="0" showAll="0">
      <items count="5">
        <item x="0"/>
        <item x="1"/>
        <item x="2"/>
        <item m="1" x="3"/>
        <item t="default"/>
      </items>
    </pivotField>
    <pivotField axis="axisRow" compact="0" showAll="0">
      <items count="14">
        <item x="2"/>
        <item m="1" x="9"/>
        <item m="1" x="10"/>
        <item x="1"/>
        <item m="1" x="11"/>
        <item m="1" x="12"/>
        <item x="5"/>
        <item x="6"/>
        <item m="1" x="8"/>
        <item x="7"/>
        <item x="0"/>
        <item x="3"/>
        <item x="4"/>
        <item t="default"/>
      </items>
    </pivotField>
    <pivotField axis="axisRow" compact="0" multipleItemSelectionAllowed="1" showAll="0">
      <items count="22">
        <item x="2"/>
        <item m="1" x="15"/>
        <item h="1" x="0"/>
        <item m="1" x="16"/>
        <item x="1"/>
        <item x="3"/>
        <item x="4"/>
        <item x="5"/>
        <item h="1" m="1" x="17"/>
        <item x="6"/>
        <item h="1" m="1" x="18"/>
        <item x="7"/>
        <item x="8"/>
        <item x="9"/>
        <item h="1" m="1" x="19"/>
        <item x="12"/>
        <item x="13"/>
        <item h="1" m="1" x="20"/>
        <item x="14"/>
        <item x="10"/>
        <item x="11"/>
        <item t="default"/>
      </items>
    </pivotField>
    <pivotField compact="0" multipleItemSelectionAllowed="1" showAll="0">
      <items count="48">
        <item x="4"/>
        <item m="1" x="45"/>
        <item m="1" x="46"/>
        <item h="1" x="0"/>
        <item h="1" x="1"/>
        <item h="1" x="2"/>
        <item h="1" x="3"/>
        <item h="1" x="5"/>
        <item h="1" x="6"/>
        <item h="1" x="7"/>
        <item h="1" x="8"/>
        <item h="1" x="9"/>
        <item h="1" x="10"/>
        <item h="1" x="11"/>
        <item h="1" x="12"/>
        <item h="1" x="13"/>
        <item h="1" x="14"/>
        <item h="1" x="15"/>
        <item h="1" x="16"/>
        <item h="1" x="17"/>
        <item h="1" x="18"/>
        <item h="1" x="19"/>
        <item h="1" x="20"/>
        <item h="1" x="21"/>
        <item h="1" x="22"/>
        <item h="1" x="30"/>
        <item h="1" x="31"/>
        <item h="1" x="32"/>
        <item h="1" x="33"/>
        <item h="1" x="34"/>
        <item h="1" x="35"/>
        <item h="1" x="36"/>
        <item h="1" x="37"/>
        <item h="1" x="38"/>
        <item h="1" x="39"/>
        <item h="1" x="40"/>
        <item h="1" x="41"/>
        <item h="1" x="42"/>
        <item h="1" x="43"/>
        <item h="1" x="44"/>
        <item h="1" x="23"/>
        <item h="1" x="24"/>
        <item h="1" x="25"/>
        <item h="1" x="26"/>
        <item h="1" x="27"/>
        <item h="1" x="28"/>
        <item h="1" x="29"/>
        <item t="default"/>
      </items>
    </pivotField>
    <pivotField axis="axisPage" compact="0" showAll="0">
      <items count="64">
        <item x="60"/>
        <item x="8"/>
        <item x="56"/>
        <item x="5"/>
        <item x="9"/>
        <item x="6"/>
        <item x="14"/>
        <item x="20"/>
        <item x="54"/>
        <item x="4"/>
        <item x="57"/>
        <item x="55"/>
        <item x="18"/>
        <item x="59"/>
        <item x="3"/>
        <item x="45"/>
        <item x="13"/>
        <item x="33"/>
        <item x="29"/>
        <item x="2"/>
        <item x="19"/>
        <item x="11"/>
        <item x="1"/>
        <item x="7"/>
        <item x="12"/>
        <item x="16"/>
        <item x="10"/>
        <item x="58"/>
        <item x="0"/>
        <item x="15"/>
        <item x="17"/>
        <item x="21"/>
        <item x="22"/>
        <item x="23"/>
        <item x="24"/>
        <item x="25"/>
        <item x="26"/>
        <item x="27"/>
        <item x="28"/>
        <item x="30"/>
        <item x="31"/>
        <item x="32"/>
        <item x="34"/>
        <item x="43"/>
        <item x="44"/>
        <item x="46"/>
        <item x="47"/>
        <item x="48"/>
        <item x="49"/>
        <item x="50"/>
        <item x="51"/>
        <item x="52"/>
        <item x="53"/>
        <item x="61"/>
        <item x="62"/>
        <item x="35"/>
        <item x="36"/>
        <item x="37"/>
        <item x="38"/>
        <item x="39"/>
        <item x="40"/>
        <item x="41"/>
        <item x="42"/>
        <item t="default"/>
      </items>
    </pivotField>
    <pivotField compact="0" showAll="0"/>
    <pivotField compact="0" showAll="0"/>
    <pivotField compact="0" showAll="0"/>
    <pivotField compact="0" showAll="0"/>
    <pivotField compact="0" showAll="0"/>
    <pivotField compact="0" showAll="0"/>
    <pivotField compact="0" showAll="0"/>
    <pivotField compact="0" showAll="0"/>
    <pivotField compact="0" showAll="0"/>
    <pivotField compact="0" showAll="0"/>
    <pivotField compact="0" showAll="0"/>
    <pivotField compact="0" showAll="0"/>
    <pivotField compact="0" showAll="0"/>
    <pivotField compact="0" showAll="0"/>
    <pivotField compact="0" showAll="0"/>
    <pivotField compact="0" showAll="0"/>
    <pivotField compact="0" showAll="0"/>
    <pivotField compact="0" showAll="0"/>
    <pivotField compact="0" showAll="0"/>
    <pivotField compact="0" showAll="0"/>
    <pivotField compact="0" showAll="0"/>
    <pivotField compact="0" showAll="0"/>
    <pivotField compact="0" showAll="0"/>
    <pivotField compact="0" showAll="0"/>
    <pivotField compact="0" showAll="0"/>
    <pivotField compact="0" showAll="0"/>
    <pivotField compact="0" showAll="0"/>
    <pivotField compact="0" showAll="0"/>
    <pivotField compact="0" showAll="0"/>
    <pivotField compact="0" showAll="0"/>
    <pivotField compact="0" showAll="0"/>
    <pivotField compact="0" showAll="0"/>
    <pivotField compact="0" showAll="0"/>
    <pivotField compact="0" showAll="0"/>
    <pivotField compact="0" showAll="0"/>
    <pivotField compact="0" showAll="0"/>
    <pivotField compact="0" showAll="0"/>
    <pivotField compact="0" showAll="0"/>
    <pivotField compact="0" showAll="0"/>
    <pivotField compact="0" showAll="0"/>
    <pivotField compact="0" showAll="0"/>
    <pivotField compact="0" showAll="0"/>
    <pivotField compact="0" showAll="0"/>
    <pivotField compact="0" showAll="0"/>
    <pivotField compact="0" showAll="0"/>
    <pivotField compact="0" showAll="0"/>
    <pivotField compact="0" showAll="0"/>
    <pivotField compact="0" showAll="0"/>
    <pivotField compact="0" showAll="0"/>
    <pivotField compact="0" showAll="0"/>
    <pivotField compact="0" showAll="0"/>
    <pivotField compact="0" showAll="0"/>
    <pivotField dataField="1" compact="0" showAll="0"/>
  </pivotFields>
  <rowFields count="3">
    <field x="0"/>
    <field x="1"/>
    <field x="2"/>
  </rowFields>
  <rowItems count="24">
    <i>
      <x/>
    </i>
    <i r="1">
      <x/>
    </i>
    <i r="2">
      <x/>
    </i>
    <i r="1">
      <x v="3"/>
    </i>
    <i r="2">
      <x v="4"/>
    </i>
    <i r="2">
      <x v="5"/>
    </i>
    <i r="2">
      <x v="6"/>
    </i>
    <i r="1">
      <x v="11"/>
    </i>
    <i r="2">
      <x v="7"/>
    </i>
    <i r="1">
      <x v="12"/>
    </i>
    <i r="2">
      <x v="9"/>
    </i>
    <i>
      <x v="1"/>
    </i>
    <i r="1">
      <x v="6"/>
    </i>
    <i r="2">
      <x v="11"/>
    </i>
    <i r="2">
      <x v="12"/>
    </i>
    <i r="2">
      <x v="13"/>
    </i>
    <i r="2">
      <x v="19"/>
    </i>
    <i r="2">
      <x v="20"/>
    </i>
    <i>
      <x v="2"/>
    </i>
    <i r="1">
      <x v="7"/>
    </i>
    <i r="2">
      <x v="15"/>
    </i>
    <i r="2">
      <x v="16"/>
    </i>
    <i r="1">
      <x v="9"/>
    </i>
    <i r="2">
      <x v="18"/>
    </i>
  </rowItems>
  <colItems count="1">
    <i/>
  </colItems>
  <pageFields count="1">
    <pageField fld="4" hier="-1"/>
  </pageFields>
  <dataFields count="1">
    <dataField name="Total Expected ER (tCO2e)" fld="57" baseField="0" baseItem="0" numFmtId="166"/>
  </dataFields>
  <formats count="9">
    <format dxfId="28">
      <pivotArea outline="0" collapsedLevelsAreSubtotals="1" fieldPosition="0"/>
    </format>
    <format dxfId="27">
      <pivotArea dataOnly="0" labelOnly="1" outline="0" axis="axisValues" fieldPosition="0"/>
    </format>
    <format dxfId="26">
      <pivotArea type="all" dataOnly="0" outline="0" fieldPosition="0"/>
    </format>
    <format dxfId="25">
      <pivotArea outline="0" collapsedLevelsAreSubtotals="1" fieldPosition="0"/>
    </format>
    <format dxfId="24">
      <pivotArea field="2" type="button" dataOnly="0" labelOnly="1" outline="0" axis="axisRow" fieldPosition="2"/>
    </format>
    <format dxfId="23">
      <pivotArea field="3" type="button" dataOnly="0" labelOnly="1" outline="0"/>
    </format>
    <format dxfId="22">
      <pivotArea field="4" type="button" dataOnly="0" labelOnly="1" outline="0" axis="axisPage" fieldPosition="0"/>
    </format>
    <format dxfId="21">
      <pivotArea dataOnly="0" labelOnly="1" outline="0" fieldPosition="0">
        <references count="1">
          <reference field="2" count="2">
            <x v="0"/>
            <x v="1"/>
          </reference>
        </references>
      </pivotArea>
    </format>
    <format dxfId="20">
      <pivotArea dataOnly="0" labelOnly="1" outline="0" axis="axisValues" fieldPosition="0"/>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4.xml><?xml version="1.0" encoding="utf-8"?>
<pivotTableDefinition xmlns="http://schemas.openxmlformats.org/spreadsheetml/2006/main" xmlns:mc="http://schemas.openxmlformats.org/markup-compatibility/2006" xmlns:xr="http://schemas.microsoft.com/office/spreadsheetml/2014/revision" mc:Ignorable="xr" xr:uid="{FDD2DE3D-0C25-42F7-B980-1458ADCBA8EF}" name="PivotTable5" cacheId="2" applyNumberFormats="0" applyBorderFormats="0" applyFontFormats="0" applyPatternFormats="0" applyAlignmentFormats="0" applyWidthHeightFormats="1" dataCaption="Values" updatedVersion="8" minRefreshableVersion="3" useAutoFormatting="1" rowGrandTotals="0" colGrandTotals="0" itemPrintTitles="1" createdVersion="8" indent="0" compact="0" compactData="0" multipleFieldFilters="0" rowHeaderCaption="SubActivity">
  <location ref="B11:E54" firstHeaderRow="1" firstDataRow="1" firstDataCol="3" rowPageCount="1" colPageCount="1"/>
  <pivotFields count="58">
    <pivotField compact="0" outline="0" subtotalTop="0" showAll="0" defaultSubtotal="0"/>
    <pivotField axis="axisRow" compact="0" outline="0" showAll="0" defaultSubtotal="0">
      <items count="13">
        <item h="1" x="2"/>
        <item h="1" m="1" x="9"/>
        <item m="1" x="10"/>
        <item x="1"/>
        <item m="1" x="11"/>
        <item m="1" x="12"/>
        <item x="5"/>
        <item x="6"/>
        <item m="1" x="8"/>
        <item x="7"/>
        <item h="1" x="0"/>
        <item x="3"/>
        <item x="4"/>
      </items>
    </pivotField>
    <pivotField axis="axisRow" compact="0" outline="0" showAll="0" defaultSubtotal="0">
      <items count="21">
        <item x="2"/>
        <item m="1" x="15"/>
        <item h="1" x="0"/>
        <item h="1" m="1" x="16"/>
        <item x="1"/>
        <item x="3"/>
        <item x="4"/>
        <item x="5"/>
        <item h="1" m="1" x="17"/>
        <item x="6"/>
        <item h="1" m="1" x="18"/>
        <item x="7"/>
        <item x="8"/>
        <item x="9"/>
        <item h="1" m="1" x="19"/>
        <item x="12"/>
        <item x="13"/>
        <item h="1" m="1" x="20"/>
        <item x="14"/>
        <item x="10"/>
        <item x="11"/>
      </items>
    </pivotField>
    <pivotField axis="axisRow" compact="0" outline="0" multipleItemSelectionAllowed="1" showAll="0" defaultSubtotal="0">
      <items count="47">
        <item x="4"/>
        <item m="1" x="45"/>
        <item m="1" x="46"/>
        <item h="1" x="0"/>
        <item x="1"/>
        <item x="2"/>
        <item x="3"/>
        <item x="5"/>
        <item x="6"/>
        <item x="7"/>
        <item x="8"/>
        <item x="9"/>
        <item x="10"/>
        <item x="11"/>
        <item x="12"/>
        <item x="13"/>
        <item x="14"/>
        <item x="15"/>
        <item x="16"/>
        <item x="17"/>
        <item x="18"/>
        <item x="19"/>
        <item x="20"/>
        <item x="21"/>
        <item x="22"/>
        <item x="30"/>
        <item x="31"/>
        <item x="32"/>
        <item x="33"/>
        <item x="34"/>
        <item x="35"/>
        <item x="36"/>
        <item x="37"/>
        <item x="38"/>
        <item x="39"/>
        <item x="40"/>
        <item x="23"/>
        <item x="24"/>
        <item x="25"/>
        <item x="26"/>
        <item x="27"/>
        <item x="28"/>
        <item x="29"/>
        <item x="41"/>
        <item x="42"/>
        <item x="43"/>
        <item x="44"/>
      </items>
    </pivotField>
    <pivotField axis="axisPage" compact="0" outline="0" showAll="0" defaultSubtotal="0">
      <items count="63">
        <item x="60"/>
        <item x="8"/>
        <item x="56"/>
        <item x="5"/>
        <item x="9"/>
        <item x="6"/>
        <item x="14"/>
        <item x="20"/>
        <item x="54"/>
        <item x="4"/>
        <item x="57"/>
        <item x="55"/>
        <item x="18"/>
        <item x="59"/>
        <item x="3"/>
        <item x="45"/>
        <item x="13"/>
        <item x="33"/>
        <item x="29"/>
        <item x="2"/>
        <item x="19"/>
        <item x="11"/>
        <item x="1"/>
        <item x="7"/>
        <item x="12"/>
        <item x="16"/>
        <item x="10"/>
        <item x="58"/>
        <item x="0"/>
        <item x="15"/>
        <item x="17"/>
        <item x="21"/>
        <item x="22"/>
        <item x="23"/>
        <item x="24"/>
        <item x="25"/>
        <item x="26"/>
        <item x="27"/>
        <item x="28"/>
        <item x="30"/>
        <item x="31"/>
        <item x="32"/>
        <item x="34"/>
        <item x="43"/>
        <item x="44"/>
        <item x="46"/>
        <item x="47"/>
        <item x="48"/>
        <item x="49"/>
        <item x="50"/>
        <item x="51"/>
        <item x="52"/>
        <item x="53"/>
        <item x="35"/>
        <item x="36"/>
        <item x="37"/>
        <item x="38"/>
        <item x="39"/>
        <item x="40"/>
        <item x="41"/>
        <item x="42"/>
        <item x="61"/>
        <item x="62"/>
      </items>
    </pivotField>
    <pivotField compact="0" outline="0" showAll="0" defaultSubtotal="0"/>
    <pivotField compact="0" outline="0" showAll="0" defaultSubtotal="0"/>
    <pivotField compact="0" outline="0" showAll="0" defaultSubtotal="0"/>
    <pivotField compact="0" outline="0" showAll="0" defaultSubtotal="0"/>
    <pivotField compact="0" outline="0" showAll="0" defaultSubtotal="0"/>
    <pivotField compact="0" outline="0" showAll="0" defaultSubtotal="0"/>
    <pivotField compact="0" outline="0" showAll="0" defaultSubtotal="0"/>
    <pivotField compact="0" outline="0" showAll="0" defaultSubtotal="0"/>
    <pivotField compact="0" outline="0" showAll="0" defaultSubtotal="0"/>
    <pivotField compact="0" outline="0" showAll="0" defaultSubtotal="0"/>
    <pivotField compact="0" outline="0" showAll="0" defaultSubtotal="0"/>
    <pivotField compact="0" outline="0" showAll="0" defaultSubtotal="0"/>
    <pivotField compact="0" outline="0" showAll="0" defaultSubtotal="0"/>
    <pivotField compact="0" outline="0" showAll="0" defaultSubtotal="0"/>
    <pivotField compact="0" outline="0" showAll="0" defaultSubtotal="0"/>
    <pivotField compact="0" outline="0" showAll="0" defaultSubtotal="0"/>
    <pivotField compact="0" outline="0" showAll="0" defaultSubtotal="0"/>
    <pivotField compact="0" outline="0" showAll="0" defaultSubtotal="0"/>
    <pivotField compact="0" outline="0" showAll="0" defaultSubtotal="0"/>
    <pivotField compact="0" outline="0" showAll="0" defaultSubtotal="0"/>
    <pivotField compact="0" outline="0" showAll="0" defaultSubtotal="0"/>
    <pivotField compact="0" outline="0" showAll="0" defaultSubtotal="0"/>
    <pivotField compact="0" outline="0" showAll="0" defaultSubtotal="0"/>
    <pivotField compact="0" outline="0" showAll="0" defaultSubtotal="0"/>
    <pivotField compact="0" outline="0" showAll="0" defaultSubtotal="0"/>
    <pivotField compact="0" outline="0" showAll="0" defaultSubtotal="0"/>
    <pivotField compact="0" outline="0" showAll="0" defaultSubtotal="0"/>
    <pivotField compact="0" outline="0" showAll="0" defaultSubtotal="0"/>
    <pivotField compact="0" outline="0" showAll="0" defaultSubtotal="0"/>
    <pivotField compact="0" outline="0" showAll="0" defaultSubtotal="0"/>
    <pivotField compact="0" outline="0" showAll="0" defaultSubtotal="0"/>
    <pivotField compact="0" outline="0" showAll="0" defaultSubtotal="0"/>
    <pivotField compact="0" outline="0" showAll="0" defaultSubtotal="0"/>
    <pivotField compact="0" outline="0" showAll="0" defaultSubtotal="0"/>
    <pivotField compact="0" outline="0" showAll="0" defaultSubtotal="0"/>
    <pivotField compact="0" outline="0" showAll="0" defaultSubtotal="0"/>
    <pivotField compact="0" outline="0" showAll="0" defaultSubtotal="0"/>
    <pivotField compact="0" outline="0" showAll="0" defaultSubtotal="0"/>
    <pivotField compact="0" outline="0" showAll="0" defaultSubtotal="0"/>
    <pivotField compact="0" outline="0" showAll="0" defaultSubtotal="0"/>
    <pivotField compact="0" outline="0" showAll="0" defaultSubtotal="0"/>
    <pivotField compact="0" outline="0" showAll="0" defaultSubtotal="0"/>
    <pivotField compact="0" outline="0" showAll="0" defaultSubtotal="0"/>
    <pivotField compact="0" outline="0" showAll="0" defaultSubtotal="0"/>
    <pivotField compact="0" outline="0" showAll="0" defaultSubtotal="0"/>
    <pivotField compact="0" outline="0" showAll="0" defaultSubtotal="0"/>
    <pivotField compact="0" outline="0" showAll="0" defaultSubtotal="0"/>
    <pivotField compact="0" outline="0" showAll="0" defaultSubtotal="0"/>
    <pivotField compact="0" outline="0" showAll="0" defaultSubtotal="0"/>
    <pivotField compact="0" outline="0" showAll="0" defaultSubtotal="0"/>
    <pivotField compact="0" outline="0" showAll="0" defaultSubtotal="0"/>
    <pivotField compact="0" outline="0" showAll="0" defaultSubtotal="0"/>
    <pivotField dataField="1" compact="0" outline="0" showAll="0" defaultSubtotal="0"/>
  </pivotFields>
  <rowFields count="3">
    <field x="1"/>
    <field x="2"/>
    <field x="3"/>
  </rowFields>
  <rowItems count="43">
    <i>
      <x v="3"/>
      <x v="4"/>
      <x v="4"/>
    </i>
    <i r="2">
      <x v="5"/>
    </i>
    <i r="2">
      <x v="6"/>
    </i>
    <i r="1">
      <x v="5"/>
      <x v="7"/>
    </i>
    <i r="2">
      <x v="8"/>
    </i>
    <i r="2">
      <x v="9"/>
    </i>
    <i r="2">
      <x v="10"/>
    </i>
    <i r="1">
      <x v="6"/>
      <x v="11"/>
    </i>
    <i r="2">
      <x v="12"/>
    </i>
    <i>
      <x v="6"/>
      <x v="11"/>
      <x v="20"/>
    </i>
    <i r="1">
      <x v="12"/>
      <x v="21"/>
    </i>
    <i r="2">
      <x v="22"/>
    </i>
    <i r="2">
      <x v="23"/>
    </i>
    <i r="1">
      <x v="13"/>
      <x v="24"/>
    </i>
    <i r="1">
      <x v="19"/>
      <x v="36"/>
    </i>
    <i r="1">
      <x v="20"/>
      <x v="37"/>
    </i>
    <i r="2">
      <x v="38"/>
    </i>
    <i r="2">
      <x v="39"/>
    </i>
    <i r="2">
      <x v="40"/>
    </i>
    <i r="2">
      <x v="41"/>
    </i>
    <i r="2">
      <x v="42"/>
    </i>
    <i>
      <x v="7"/>
      <x v="15"/>
      <x v="25"/>
    </i>
    <i r="2">
      <x v="26"/>
    </i>
    <i r="2">
      <x v="27"/>
    </i>
    <i r="2">
      <x v="28"/>
    </i>
    <i r="1">
      <x v="16"/>
      <x v="29"/>
    </i>
    <i r="2">
      <x v="30"/>
    </i>
    <i r="2">
      <x v="31"/>
    </i>
    <i>
      <x v="9"/>
      <x v="18"/>
      <x v="32"/>
    </i>
    <i r="2">
      <x v="33"/>
    </i>
    <i r="2">
      <x v="34"/>
    </i>
    <i r="2">
      <x v="35"/>
    </i>
    <i r="2">
      <x v="43"/>
    </i>
    <i r="2">
      <x v="44"/>
    </i>
    <i r="2">
      <x v="45"/>
    </i>
    <i r="2">
      <x v="46"/>
    </i>
    <i>
      <x v="11"/>
      <x v="7"/>
      <x v="13"/>
    </i>
    <i r="2">
      <x v="14"/>
    </i>
    <i r="2">
      <x v="15"/>
    </i>
    <i r="2">
      <x v="16"/>
    </i>
    <i r="2">
      <x v="17"/>
    </i>
    <i>
      <x v="12"/>
      <x v="9"/>
      <x v="18"/>
    </i>
    <i r="2">
      <x v="19"/>
    </i>
  </rowItems>
  <colItems count="1">
    <i/>
  </colItems>
  <pageFields count="1">
    <pageField fld="4" hier="-1"/>
  </pageFields>
  <dataFields count="1">
    <dataField name="Total Expected ER (tCO2e)" fld="57" baseField="0" baseItem="0" numFmtId="166"/>
  </dataFields>
  <formats count="14">
    <format dxfId="42">
      <pivotArea outline="0" collapsedLevelsAreSubtotals="1" fieldPosition="0"/>
    </format>
    <format dxfId="41">
      <pivotArea dataOnly="0" labelOnly="1" outline="0" axis="axisValues" fieldPosition="0"/>
    </format>
    <format dxfId="40">
      <pivotArea type="all" dataOnly="0" outline="0" fieldPosition="0"/>
    </format>
    <format dxfId="39">
      <pivotArea outline="0" collapsedLevelsAreSubtotals="1" fieldPosition="0"/>
    </format>
    <format dxfId="38">
      <pivotArea field="2" type="button" dataOnly="0" labelOnly="1" outline="0" axis="axisRow" fieldPosition="1"/>
    </format>
    <format dxfId="37">
      <pivotArea field="3" type="button" dataOnly="0" labelOnly="1" outline="0" axis="axisRow" fieldPosition="2"/>
    </format>
    <format dxfId="36">
      <pivotArea field="4" type="button" dataOnly="0" labelOnly="1" outline="0" axis="axisPage" fieldPosition="0"/>
    </format>
    <format dxfId="35">
      <pivotArea dataOnly="0" labelOnly="1" outline="0" fieldPosition="0">
        <references count="1">
          <reference field="2" count="2">
            <x v="0"/>
            <x v="1"/>
          </reference>
        </references>
      </pivotArea>
    </format>
    <format dxfId="34">
      <pivotArea dataOnly="0" labelOnly="1" outline="0" fieldPosition="0">
        <references count="2">
          <reference field="2" count="1" selected="0">
            <x v="0"/>
          </reference>
          <reference field="3" count="1">
            <x v="0"/>
          </reference>
        </references>
      </pivotArea>
    </format>
    <format dxfId="33">
      <pivotArea dataOnly="0" labelOnly="1" outline="0" fieldPosition="0">
        <references count="2">
          <reference field="2" count="1" selected="0">
            <x v="1"/>
          </reference>
          <reference field="3" count="2">
            <x v="1"/>
            <x v="2"/>
          </reference>
        </references>
      </pivotArea>
    </format>
    <format dxfId="32">
      <pivotArea dataOnly="0" labelOnly="1" outline="0" fieldPosition="0">
        <references count="3">
          <reference field="2" count="1" selected="0">
            <x v="0"/>
          </reference>
          <reference field="3" count="1" selected="0">
            <x v="0"/>
          </reference>
          <reference field="4" count="1">
            <x v="5"/>
          </reference>
        </references>
      </pivotArea>
    </format>
    <format dxfId="31">
      <pivotArea dataOnly="0" labelOnly="1" outline="0" fieldPosition="0">
        <references count="3">
          <reference field="2" count="1" selected="0">
            <x v="1"/>
          </reference>
          <reference field="3" count="1" selected="0">
            <x v="1"/>
          </reference>
          <reference field="4" count="1">
            <x v="13"/>
          </reference>
        </references>
      </pivotArea>
    </format>
    <format dxfId="30">
      <pivotArea dataOnly="0" labelOnly="1" outline="0" fieldPosition="0">
        <references count="3">
          <reference field="2" count="1" selected="0">
            <x v="1"/>
          </reference>
          <reference field="3" count="1" selected="0">
            <x v="2"/>
          </reference>
          <reference field="4" count="1">
            <x v="0"/>
          </reference>
        </references>
      </pivotArea>
    </format>
    <format dxfId="29">
      <pivotArea dataOnly="0" labelOnly="1" outline="0" axis="axisValues" fieldPosition="0"/>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nabledSubtotalsDefault="0" SubtotalsOnTopDefault="0"/>
    </ext>
  </extLst>
</pivotTableDefinition>
</file>

<file path=xl/pivotTables/pivotTable5.xml><?xml version="1.0" encoding="utf-8"?>
<pivotTableDefinition xmlns="http://schemas.openxmlformats.org/spreadsheetml/2006/main" xmlns:mc="http://schemas.openxmlformats.org/markup-compatibility/2006" xmlns:xr="http://schemas.microsoft.com/office/spreadsheetml/2014/revision" mc:Ignorable="xr" xr:uid="{154817EB-89CC-4FC4-A564-49C2A1046600}" name="PivotTable12" cacheId="2" dataOnRows="1" applyNumberFormats="0" applyBorderFormats="0" applyFontFormats="0" applyPatternFormats="0" applyAlignmentFormats="0" applyWidthHeightFormats="1" dataCaption="Values" updatedVersion="8" minRefreshableVersion="3" useAutoFormatting="1" rowGrandTotals="0" colGrandTotals="0" itemPrintTitles="1" createdVersion="8" indent="0" compact="0" outline="1" outlineData="1" compactData="0" multipleFieldFilters="0" rowHeaderCaption="SubActivity">
  <location ref="M124:P135" firstHeaderRow="1" firstDataRow="2" firstDataCol="1" rowPageCount="3" colPageCount="1"/>
  <pivotFields count="58">
    <pivotField axis="axisCol" compact="0" showAll="0">
      <items count="5">
        <item x="0"/>
        <item x="1"/>
        <item x="2"/>
        <item m="1" x="3"/>
        <item t="default"/>
      </items>
    </pivotField>
    <pivotField axis="axisPage" compact="0" showAll="0">
      <items count="14">
        <item x="2"/>
        <item m="1" x="9"/>
        <item m="1" x="10"/>
        <item x="1"/>
        <item m="1" x="11"/>
        <item m="1" x="12"/>
        <item x="5"/>
        <item x="6"/>
        <item m="1" x="8"/>
        <item x="7"/>
        <item x="0"/>
        <item x="3"/>
        <item x="4"/>
        <item t="default"/>
      </items>
    </pivotField>
    <pivotField axis="axisPage" compact="0" multipleItemSelectionAllowed="1" showAll="0">
      <items count="22">
        <item x="2"/>
        <item m="1" x="15"/>
        <item x="0"/>
        <item h="1" m="1" x="16"/>
        <item x="1"/>
        <item x="3"/>
        <item x="4"/>
        <item x="5"/>
        <item h="1" m="1" x="17"/>
        <item x="6"/>
        <item h="1" m="1" x="18"/>
        <item x="7"/>
        <item x="8"/>
        <item x="9"/>
        <item h="1" m="1" x="19"/>
        <item x="12"/>
        <item x="13"/>
        <item h="1" m="1" x="20"/>
        <item x="14"/>
        <item x="10"/>
        <item x="11"/>
        <item t="default"/>
      </items>
    </pivotField>
    <pivotField compact="0" multipleItemSelectionAllowed="1" showAll="0">
      <items count="48">
        <item x="4"/>
        <item m="1" x="45"/>
        <item m="1" x="46"/>
        <item h="1" x="0"/>
        <item h="1" x="1"/>
        <item h="1" x="2"/>
        <item h="1" x="3"/>
        <item h="1" x="5"/>
        <item h="1" x="6"/>
        <item h="1" x="7"/>
        <item h="1" x="8"/>
        <item h="1" x="9"/>
        <item h="1" x="10"/>
        <item h="1" x="11"/>
        <item h="1" x="12"/>
        <item h="1" x="13"/>
        <item h="1" x="14"/>
        <item h="1" x="15"/>
        <item h="1" x="16"/>
        <item h="1" x="17"/>
        <item h="1" x="18"/>
        <item h="1" x="19"/>
        <item h="1" x="20"/>
        <item h="1" x="21"/>
        <item h="1" x="22"/>
        <item h="1" x="30"/>
        <item h="1" x="31"/>
        <item h="1" x="32"/>
        <item h="1" x="33"/>
        <item h="1" x="34"/>
        <item h="1" x="35"/>
        <item h="1" x="36"/>
        <item h="1" x="37"/>
        <item h="1" x="38"/>
        <item h="1" x="39"/>
        <item h="1" x="40"/>
        <item h="1" x="23"/>
        <item h="1" x="24"/>
        <item h="1" x="25"/>
        <item h="1" x="26"/>
        <item h="1" x="27"/>
        <item h="1" x="28"/>
        <item h="1" x="29"/>
        <item h="1" x="41"/>
        <item h="1" x="42"/>
        <item h="1" x="43"/>
        <item h="1" x="44"/>
        <item t="default"/>
      </items>
    </pivotField>
    <pivotField axis="axisPage" compact="0" showAll="0">
      <items count="64">
        <item x="60"/>
        <item x="8"/>
        <item x="56"/>
        <item x="5"/>
        <item x="9"/>
        <item x="6"/>
        <item x="14"/>
        <item x="20"/>
        <item x="54"/>
        <item x="4"/>
        <item x="57"/>
        <item x="55"/>
        <item x="18"/>
        <item x="59"/>
        <item x="3"/>
        <item x="45"/>
        <item x="13"/>
        <item x="33"/>
        <item x="29"/>
        <item x="2"/>
        <item x="19"/>
        <item x="11"/>
        <item x="1"/>
        <item x="7"/>
        <item x="12"/>
        <item x="16"/>
        <item x="10"/>
        <item x="58"/>
        <item x="0"/>
        <item x="15"/>
        <item x="17"/>
        <item x="21"/>
        <item x="22"/>
        <item x="23"/>
        <item x="24"/>
        <item x="25"/>
        <item x="26"/>
        <item x="27"/>
        <item x="28"/>
        <item x="30"/>
        <item x="31"/>
        <item x="32"/>
        <item x="34"/>
        <item x="43"/>
        <item x="44"/>
        <item x="46"/>
        <item x="47"/>
        <item x="48"/>
        <item x="49"/>
        <item x="50"/>
        <item x="51"/>
        <item x="52"/>
        <item x="53"/>
        <item x="35"/>
        <item x="36"/>
        <item x="37"/>
        <item x="38"/>
        <item x="39"/>
        <item x="40"/>
        <item x="41"/>
        <item x="42"/>
        <item x="61"/>
        <item x="62"/>
        <item t="default"/>
      </items>
    </pivotField>
    <pivotField compact="0" showAll="0"/>
    <pivotField compact="0" showAll="0"/>
    <pivotField compact="0" showAll="0"/>
    <pivotField compact="0" showAll="0"/>
    <pivotField compact="0" showAll="0"/>
    <pivotField compact="0" showAll="0"/>
    <pivotField compact="0" showAll="0"/>
    <pivotField compact="0" showAll="0"/>
    <pivotField compact="0" showAll="0"/>
    <pivotField compact="0" showAll="0"/>
    <pivotField compact="0" showAll="0"/>
    <pivotField compact="0" showAll="0"/>
    <pivotField compact="0" showAll="0"/>
    <pivotField compact="0" showAll="0"/>
    <pivotField compact="0" showAll="0"/>
    <pivotField compact="0" showAll="0"/>
    <pivotField compact="0" showAll="0"/>
    <pivotField compact="0" showAll="0"/>
    <pivotField compact="0" showAll="0"/>
    <pivotField compact="0" showAll="0"/>
    <pivotField compact="0" showAll="0"/>
    <pivotField compact="0" showAll="0"/>
    <pivotField compact="0" showAll="0"/>
    <pivotField compact="0" showAll="0"/>
    <pivotField compact="0" showAll="0"/>
    <pivotField compact="0" showAll="0"/>
    <pivotField compact="0" showAll="0"/>
    <pivotField compact="0" showAll="0"/>
    <pivotField compact="0" showAll="0"/>
    <pivotField compact="0" showAll="0"/>
    <pivotField compact="0" showAll="0"/>
    <pivotField compact="0" showAll="0"/>
    <pivotField dataField="1" compact="0" showAll="0"/>
    <pivotField dataField="1" compact="0" showAll="0"/>
    <pivotField dataField="1" compact="0" showAll="0"/>
    <pivotField dataField="1" compact="0" showAll="0"/>
    <pivotField dataField="1" compact="0" showAll="0"/>
    <pivotField dataField="1" compact="0" showAll="0"/>
    <pivotField dataField="1" compact="0" showAll="0"/>
    <pivotField dataField="1" compact="0" showAll="0"/>
    <pivotField dataField="1" compact="0" showAll="0"/>
    <pivotField dataField="1" compact="0" showAll="0"/>
    <pivotField compact="0" showAll="0"/>
    <pivotField compact="0" showAll="0"/>
    <pivotField compact="0" showAll="0"/>
    <pivotField compact="0" showAll="0"/>
    <pivotField compact="0" showAll="0"/>
    <pivotField compact="0" showAll="0"/>
    <pivotField compact="0" showAll="0"/>
    <pivotField compact="0" showAll="0"/>
    <pivotField compact="0" showAll="0"/>
    <pivotField compact="0" showAll="0"/>
    <pivotField compact="0" showAll="0"/>
  </pivotFields>
  <rowFields count="1">
    <field x="-2"/>
  </rowFields>
  <rowItems count="10">
    <i>
      <x/>
    </i>
    <i i="1">
      <x v="1"/>
    </i>
    <i i="2">
      <x v="2"/>
    </i>
    <i i="3">
      <x v="3"/>
    </i>
    <i i="4">
      <x v="4"/>
    </i>
    <i i="5">
      <x v="5"/>
    </i>
    <i i="6">
      <x v="6"/>
    </i>
    <i i="7">
      <x v="7"/>
    </i>
    <i i="8">
      <x v="8"/>
    </i>
    <i i="9">
      <x v="9"/>
    </i>
  </rowItems>
  <colFields count="1">
    <field x="0"/>
  </colFields>
  <colItems count="3">
    <i>
      <x/>
    </i>
    <i>
      <x v="1"/>
    </i>
    <i>
      <x v="2"/>
    </i>
  </colItems>
  <pageFields count="3">
    <pageField fld="4" hier="-1"/>
    <pageField fld="2" hier="-1"/>
    <pageField fld="1" hier="-1"/>
  </pageFields>
  <dataFields count="10">
    <dataField name="Sum of EAD-Deforestation Emission  - Biomass" fld="37" baseField="0" baseItem="0"/>
    <dataField name="Sum of EAD-Peat Decomposition Emission (in deforested area)" fld="38" baseField="0" baseItem="0"/>
    <dataField name="Sum of EAD-Peat fire emission" fld="39" baseField="0" baseItem="0"/>
    <dataField name="Sum of EAD-AGB+DOM fire emission (in deforested area)" fld="40" baseField="0" baseItem="0"/>
    <dataField name="Sum of EAD-Mangrove soil emissions (in deforested area)" fld="41" baseField="0" baseItem="0"/>
    <dataField name="Sum of EAD-Forest degradation emission - Biomass" fld="42" baseField="0" baseItem="0"/>
    <dataField name="Sum of EAD-Peat Decomposition Emission (in forest degraded area)" fld="43" baseField="0" baseItem="0"/>
    <dataField name="Sum of EAD-AGB+DOM fire emission (in forest degraded area)" fld="44" baseField="0" baseItem="0"/>
    <dataField name="Sum of EAD-Enhance of forest carbon stock (EFCS) - Biomass" fld="45" baseField="0" baseItem="0"/>
    <dataField name="Sum of EAD-Peat Decomposition Emission (in EFCS area)" fld="46" baseField="0" baseItem="0"/>
  </dataFields>
  <formats count="10">
    <format dxfId="52">
      <pivotArea outline="0" collapsedLevelsAreSubtotals="1" fieldPosition="0"/>
    </format>
    <format dxfId="51">
      <pivotArea dataOnly="0" labelOnly="1" outline="0" axis="axisValues" fieldPosition="0"/>
    </format>
    <format dxfId="50">
      <pivotArea type="all" dataOnly="0" outline="0" fieldPosition="0"/>
    </format>
    <format dxfId="49">
      <pivotArea outline="0" collapsedLevelsAreSubtotals="1" fieldPosition="0"/>
    </format>
    <format dxfId="48">
      <pivotArea field="2" type="button" dataOnly="0" labelOnly="1" outline="0" axis="axisPage" fieldPosition="1"/>
    </format>
    <format dxfId="47">
      <pivotArea field="3" type="button" dataOnly="0" labelOnly="1" outline="0"/>
    </format>
    <format dxfId="46">
      <pivotArea field="4" type="button" dataOnly="0" labelOnly="1" outline="0" axis="axisPage" fieldPosition="0"/>
    </format>
    <format dxfId="45">
      <pivotArea dataOnly="0" labelOnly="1" outline="0" fieldPosition="0">
        <references count="1">
          <reference field="2" count="2">
            <x v="0"/>
            <x v="1"/>
          </reference>
        </references>
      </pivotArea>
    </format>
    <format dxfId="44">
      <pivotArea dataOnly="0" labelOnly="1" outline="0" axis="axisValues" fieldPosition="0"/>
    </format>
    <format dxfId="43">
      <pivotArea outline="0" collapsedLevelsAreSubtotals="1" fieldPosition="0"/>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6.xml><?xml version="1.0" encoding="utf-8"?>
<pivotTableDefinition xmlns="http://schemas.openxmlformats.org/spreadsheetml/2006/main" xmlns:mc="http://schemas.openxmlformats.org/markup-compatibility/2006" xmlns:xr="http://schemas.microsoft.com/office/spreadsheetml/2014/revision" mc:Ignorable="xr" xr:uid="{73D0916A-916D-4C11-965C-B5B80DFD4C4E}" name="PivotTable10" cacheId="3" dataOnRows="1" applyNumberFormats="0" applyBorderFormats="0" applyFontFormats="0" applyPatternFormats="0" applyAlignmentFormats="0" applyWidthHeightFormats="1" dataCaption="Values" updatedVersion="8" minRefreshableVersion="3" useAutoFormatting="1" rowGrandTotals="0" colGrandTotals="0" itemPrintTitles="1" createdVersion="8" indent="0" compact="0" outline="1" outlineData="1" compactData="0" multipleFieldFilters="0" rowHeaderCaption="SubActivity">
  <location ref="H124:K135" firstHeaderRow="1" firstDataRow="2" firstDataCol="1" rowPageCount="3" colPageCount="1"/>
  <pivotFields count="58">
    <pivotField axis="axisCol" compact="0" showAll="0">
      <items count="4">
        <item x="0"/>
        <item x="1"/>
        <item x="2"/>
        <item t="default"/>
      </items>
    </pivotField>
    <pivotField axis="axisPage" compact="0" showAll="0">
      <items count="9">
        <item x="2"/>
        <item x="1"/>
        <item x="5"/>
        <item x="6"/>
        <item x="7"/>
        <item x="0"/>
        <item x="3"/>
        <item x="4"/>
        <item t="default"/>
      </items>
    </pivotField>
    <pivotField axis="axisPage" compact="0" multipleItemSelectionAllowed="1" showAll="0">
      <items count="16">
        <item h="1" x="2"/>
        <item h="1" x="0"/>
        <item x="1"/>
        <item x="3"/>
        <item x="4"/>
        <item x="5"/>
        <item x="6"/>
        <item x="7"/>
        <item x="8"/>
        <item x="9"/>
        <item x="12"/>
        <item x="13"/>
        <item x="14"/>
        <item x="10"/>
        <item x="11"/>
        <item t="default"/>
      </items>
    </pivotField>
    <pivotField compact="0" multipleItemSelectionAllowed="1" showAll="0">
      <items count="44">
        <item x="4"/>
        <item h="1" x="0"/>
        <item h="1" x="1"/>
        <item h="1" x="2"/>
        <item h="1" x="3"/>
        <item h="1" x="5"/>
        <item h="1" x="6"/>
        <item h="1" x="7"/>
        <item h="1" x="8"/>
        <item h="1" x="9"/>
        <item h="1" x="10"/>
        <item h="1" x="11"/>
        <item h="1" x="12"/>
        <item h="1" x="13"/>
        <item h="1" x="14"/>
        <item h="1" x="15"/>
        <item h="1" x="16"/>
        <item h="1" x="17"/>
        <item h="1" x="18"/>
        <item h="1" x="19"/>
        <item h="1" x="20"/>
        <item h="1" x="21"/>
        <item h="1" x="22"/>
        <item h="1" x="30"/>
        <item h="1" x="31"/>
        <item h="1" x="32"/>
        <item h="1" x="33"/>
        <item h="1" x="34"/>
        <item h="1" x="35"/>
        <item h="1" x="36"/>
        <item h="1" x="37"/>
        <item h="1" x="38"/>
        <item h="1" x="39"/>
        <item h="1" x="40"/>
        <item h="1" x="23"/>
        <item h="1" x="24"/>
        <item h="1" x="25"/>
        <item h="1" x="26"/>
        <item h="1" x="27"/>
        <item h="1" x="28"/>
        <item h="1" x="29"/>
        <item h="1" x="41"/>
        <item h="1" x="42"/>
        <item t="default"/>
      </items>
    </pivotField>
    <pivotField axis="axisPage" compact="0" showAll="0">
      <items count="62">
        <item x="60"/>
        <item x="8"/>
        <item x="56"/>
        <item x="5"/>
        <item x="9"/>
        <item x="6"/>
        <item x="14"/>
        <item x="20"/>
        <item x="54"/>
        <item x="4"/>
        <item x="57"/>
        <item x="55"/>
        <item x="18"/>
        <item x="59"/>
        <item x="3"/>
        <item x="45"/>
        <item x="13"/>
        <item x="33"/>
        <item x="29"/>
        <item x="2"/>
        <item x="19"/>
        <item x="11"/>
        <item x="1"/>
        <item x="7"/>
        <item x="12"/>
        <item x="16"/>
        <item x="10"/>
        <item x="58"/>
        <item x="0"/>
        <item x="15"/>
        <item x="17"/>
        <item x="21"/>
        <item x="22"/>
        <item x="23"/>
        <item x="24"/>
        <item x="25"/>
        <item x="26"/>
        <item x="27"/>
        <item x="28"/>
        <item x="30"/>
        <item x="31"/>
        <item x="32"/>
        <item x="34"/>
        <item x="43"/>
        <item x="44"/>
        <item x="46"/>
        <item x="47"/>
        <item x="48"/>
        <item x="49"/>
        <item x="50"/>
        <item x="51"/>
        <item x="52"/>
        <item x="53"/>
        <item x="35"/>
        <item x="36"/>
        <item x="37"/>
        <item x="38"/>
        <item x="39"/>
        <item x="40"/>
        <item x="41"/>
        <item x="42"/>
        <item t="default"/>
      </items>
    </pivotField>
    <pivotField compact="0" showAll="0"/>
    <pivotField compact="0" showAll="0"/>
    <pivotField dataField="1" compact="0" showAll="0"/>
    <pivotField dataField="1" compact="0" showAll="0"/>
    <pivotField dataField="1" compact="0" showAll="0"/>
    <pivotField dataField="1" compact="0" showAll="0"/>
    <pivotField dataField="1" compact="0" showAll="0"/>
    <pivotField dataField="1" compact="0" showAll="0"/>
    <pivotField dataField="1" compact="0" showAll="0"/>
    <pivotField dataField="1" compact="0" showAll="0"/>
    <pivotField dataField="1" compact="0" showAll="0"/>
    <pivotField dataField="1" compact="0" showAll="0"/>
    <pivotField compact="0" showAll="0"/>
    <pivotField compact="0" showAll="0"/>
    <pivotField compact="0" showAll="0"/>
    <pivotField compact="0" showAll="0"/>
    <pivotField compact="0" showAll="0"/>
    <pivotField compact="0" showAll="0"/>
    <pivotField compact="0" showAll="0"/>
    <pivotField compact="0" showAll="0"/>
    <pivotField compact="0" showAll="0"/>
    <pivotField compact="0" showAll="0"/>
    <pivotField compact="0" showAll="0"/>
    <pivotField compact="0" showAll="0"/>
    <pivotField compact="0" showAll="0"/>
    <pivotField compact="0" showAll="0"/>
    <pivotField compact="0" showAll="0"/>
    <pivotField compact="0" showAll="0"/>
    <pivotField compact="0" showAll="0"/>
    <pivotField compact="0" showAll="0"/>
    <pivotField compact="0" showAll="0"/>
    <pivotField compact="0" showAll="0"/>
    <pivotField compact="0" showAll="0"/>
    <pivotField compact="0" showAll="0"/>
    <pivotField compact="0" showAll="0"/>
    <pivotField compact="0" showAll="0"/>
    <pivotField compact="0" showAll="0"/>
    <pivotField compact="0" showAll="0"/>
    <pivotField compact="0" showAll="0"/>
    <pivotField compact="0" showAll="0"/>
    <pivotField compact="0" showAll="0"/>
    <pivotField compact="0" showAll="0"/>
    <pivotField compact="0" showAll="0"/>
    <pivotField compact="0" showAll="0"/>
    <pivotField compact="0" showAll="0"/>
    <pivotField compact="0" showAll="0"/>
    <pivotField compact="0" showAll="0"/>
    <pivotField compact="0" showAll="0"/>
    <pivotField compact="0" showAll="0"/>
    <pivotField compact="0" showAll="0"/>
    <pivotField compact="0" showAll="0"/>
    <pivotField compact="0" showAll="0"/>
    <pivotField compact="0" showAll="0"/>
  </pivotFields>
  <rowFields count="1">
    <field x="-2"/>
  </rowFields>
  <rowItems count="10">
    <i>
      <x/>
    </i>
    <i i="1">
      <x v="1"/>
    </i>
    <i i="2">
      <x v="2"/>
    </i>
    <i i="3">
      <x v="3"/>
    </i>
    <i i="4">
      <x v="4"/>
    </i>
    <i i="5">
      <x v="5"/>
    </i>
    <i i="6">
      <x v="6"/>
    </i>
    <i i="7">
      <x v="7"/>
    </i>
    <i i="8">
      <x v="8"/>
    </i>
    <i i="9">
      <x v="9"/>
    </i>
  </rowItems>
  <colFields count="1">
    <field x="0"/>
  </colFields>
  <colItems count="3">
    <i>
      <x/>
    </i>
    <i>
      <x v="1"/>
    </i>
    <i>
      <x v="2"/>
    </i>
  </colItems>
  <pageFields count="3">
    <pageField fld="4" hier="-1"/>
    <pageField fld="2" hier="-1"/>
    <pageField fld="1" hier="-1"/>
  </pageFields>
  <dataFields count="10">
    <dataField name="Average of AD Prov-Deforestation Emission  - Biomass" fld="7" subtotal="average" baseField="0" baseItem="0"/>
    <dataField name="Average of AD Prov - Peat Decomposition Emission (in deforested area)" fld="8" subtotal="average" baseField="0" baseItem="0"/>
    <dataField name="Average of AD Prov-Peat fire emission" fld="9" subtotal="average" baseField="0" baseItem="0"/>
    <dataField name="Average of AD Prov-AGB+DOM fire emission (in deforested area)" fld="10" subtotal="average" baseField="0" baseItem="0"/>
    <dataField name="Average of AD Prov-Mangrove soil emissions (in deforested area)" fld="11" subtotal="average" baseField="0" baseItem="0"/>
    <dataField name="Average of AD Prov- Forest degradation emission - Biomass" fld="12" subtotal="average" baseField="0" baseItem="0"/>
    <dataField name="Average of AD Prov-Peat Decomposition Emission (in forest degraded area)" fld="13" subtotal="average" baseField="0" baseItem="0"/>
    <dataField name="Average of AGB+DOM fire emission (in forest degraded area)" fld="14" subtotal="average" baseField="0" baseItem="0"/>
    <dataField name="Average of Enhance of forest carbon stock (EFCS) - Biomass" fld="15" subtotal="average" baseField="0" baseItem="0"/>
    <dataField name="Average of Peat Decomposition Emission (in EFCS area)" fld="16" subtotal="average" baseField="0" baseItem="0"/>
  </dataFields>
  <formats count="10">
    <format dxfId="62">
      <pivotArea outline="0" collapsedLevelsAreSubtotals="1" fieldPosition="0"/>
    </format>
    <format dxfId="61">
      <pivotArea dataOnly="0" labelOnly="1" outline="0" axis="axisValues" fieldPosition="0"/>
    </format>
    <format dxfId="60">
      <pivotArea type="all" dataOnly="0" outline="0" fieldPosition="0"/>
    </format>
    <format dxfId="59">
      <pivotArea outline="0" collapsedLevelsAreSubtotals="1" fieldPosition="0"/>
    </format>
    <format dxfId="58">
      <pivotArea field="2" type="button" dataOnly="0" labelOnly="1" outline="0" axis="axisPage" fieldPosition="1"/>
    </format>
    <format dxfId="57">
      <pivotArea field="3" type="button" dataOnly="0" labelOnly="1" outline="0"/>
    </format>
    <format dxfId="56">
      <pivotArea field="4" type="button" dataOnly="0" labelOnly="1" outline="0" axis="axisPage" fieldPosition="0"/>
    </format>
    <format dxfId="55">
      <pivotArea dataOnly="0" labelOnly="1" outline="0" fieldPosition="0">
        <references count="1">
          <reference field="2" count="1">
            <x v="0"/>
          </reference>
        </references>
      </pivotArea>
    </format>
    <format dxfId="54">
      <pivotArea dataOnly="0" labelOnly="1" outline="0" axis="axisValues" fieldPosition="0"/>
    </format>
    <format dxfId="53">
      <pivotArea outline="0" collapsedLevelsAreSubtotals="1" fieldPosition="0"/>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D4" dT="2023-10-25T22:34:43.51" personId="{00000000-0000-0000-0000-000000000000}" id="{4CBAACB8-E505-47BA-A7AE-925AFCD73C8D}">
    <text>if the KEE is forested areas, sequestration is not relevant, in particular in primary forests, which in equilibrium state. If its is a secondary forest, the FRL doesnt account sequestration from secondary to primary forests</text>
  </threadedComment>
</ThreadedComments>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pivotTable" Target="../pivotTables/pivotTable3.xml"/><Relationship Id="rId7" Type="http://schemas.openxmlformats.org/officeDocument/2006/relationships/printerSettings" Target="../printerSettings/printerSettings2.bin"/><Relationship Id="rId2" Type="http://schemas.openxmlformats.org/officeDocument/2006/relationships/pivotTable" Target="../pivotTables/pivotTable2.xml"/><Relationship Id="rId1" Type="http://schemas.openxmlformats.org/officeDocument/2006/relationships/pivotTable" Target="../pivotTables/pivotTable1.xml"/><Relationship Id="rId6" Type="http://schemas.openxmlformats.org/officeDocument/2006/relationships/pivotTable" Target="../pivotTables/pivotTable6.xml"/><Relationship Id="rId5" Type="http://schemas.openxmlformats.org/officeDocument/2006/relationships/pivotTable" Target="../pivotTables/pivotTable5.xml"/><Relationship Id="rId4" Type="http://schemas.openxmlformats.org/officeDocument/2006/relationships/pivotTable" Target="../pivotTables/pivotTable4.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 Id="rId4" Type="http://schemas.microsoft.com/office/2017/10/relationships/threadedComment" Target="../threadedComments/threadedComment1.xm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4612A2D-0643-4396-9F15-F7054F21BB39}">
  <dimension ref="A10:B31"/>
  <sheetViews>
    <sheetView topLeftCell="A34" workbookViewId="0">
      <selection activeCell="A28" sqref="A28"/>
    </sheetView>
  </sheetViews>
  <sheetFormatPr baseColWidth="10" defaultColWidth="11.5546875" defaultRowHeight="14.4" x14ac:dyDescent="0.3"/>
  <cols>
    <col min="1" max="1" width="24.88671875" bestFit="1" customWidth="1"/>
    <col min="2" max="2" width="130.6640625" style="3" customWidth="1"/>
  </cols>
  <sheetData>
    <row r="10" spans="1:2" x14ac:dyDescent="0.3">
      <c r="A10" s="6" t="s">
        <v>0</v>
      </c>
      <c r="B10" s="3" t="s">
        <v>1</v>
      </c>
    </row>
    <row r="11" spans="1:2" ht="28.8" x14ac:dyDescent="0.3">
      <c r="A11" s="6" t="s">
        <v>2</v>
      </c>
      <c r="B11" s="3" t="s">
        <v>345</v>
      </c>
    </row>
    <row r="12" spans="1:2" ht="15.75" customHeight="1" x14ac:dyDescent="0.3">
      <c r="A12" s="6" t="s">
        <v>3</v>
      </c>
    </row>
    <row r="13" spans="1:2" x14ac:dyDescent="0.3">
      <c r="A13" t="s">
        <v>346</v>
      </c>
      <c r="B13" s="3" t="s">
        <v>347</v>
      </c>
    </row>
    <row r="14" spans="1:2" ht="28.8" x14ac:dyDescent="0.3">
      <c r="A14" t="s">
        <v>348</v>
      </c>
      <c r="B14" s="3" t="s">
        <v>349</v>
      </c>
    </row>
    <row r="15" spans="1:2" ht="28.8" x14ac:dyDescent="0.3">
      <c r="A15" t="s">
        <v>379</v>
      </c>
      <c r="B15" s="3" t="s">
        <v>380</v>
      </c>
    </row>
    <row r="16" spans="1:2" x14ac:dyDescent="0.3">
      <c r="A16" t="s">
        <v>350</v>
      </c>
      <c r="B16" s="3" t="s">
        <v>351</v>
      </c>
    </row>
    <row r="17" spans="1:2" ht="15.75" customHeight="1" x14ac:dyDescent="0.3">
      <c r="A17" t="s">
        <v>352</v>
      </c>
      <c r="B17" s="3" t="s">
        <v>357</v>
      </c>
    </row>
    <row r="18" spans="1:2" ht="15.75" customHeight="1" x14ac:dyDescent="0.3">
      <c r="A18" t="s">
        <v>353</v>
      </c>
      <c r="B18" s="3" t="s">
        <v>355</v>
      </c>
    </row>
    <row r="19" spans="1:2" ht="15.75" customHeight="1" x14ac:dyDescent="0.3">
      <c r="A19" t="s">
        <v>354</v>
      </c>
      <c r="B19" s="3" t="s">
        <v>356</v>
      </c>
    </row>
    <row r="21" spans="1:2" x14ac:dyDescent="0.3">
      <c r="A21" s="6" t="s">
        <v>4</v>
      </c>
      <c r="B21" s="3" t="s">
        <v>358</v>
      </c>
    </row>
    <row r="22" spans="1:2" ht="28.8" x14ac:dyDescent="0.3">
      <c r="A22" s="6" t="s">
        <v>5</v>
      </c>
      <c r="B22" s="3" t="s">
        <v>381</v>
      </c>
    </row>
    <row r="25" spans="1:2" ht="28.8" x14ac:dyDescent="0.3">
      <c r="B25" s="3" t="s">
        <v>6</v>
      </c>
    </row>
    <row r="26" spans="1:2" x14ac:dyDescent="0.3">
      <c r="B26" s="3" t="s">
        <v>7</v>
      </c>
    </row>
    <row r="27" spans="1:2" ht="43.2" x14ac:dyDescent="0.3">
      <c r="B27" s="3" t="s">
        <v>378</v>
      </c>
    </row>
    <row r="28" spans="1:2" ht="28.8" x14ac:dyDescent="0.3">
      <c r="B28" s="3" t="s">
        <v>8</v>
      </c>
    </row>
    <row r="29" spans="1:2" ht="28.8" x14ac:dyDescent="0.3">
      <c r="B29" s="3" t="s">
        <v>9</v>
      </c>
    </row>
    <row r="30" spans="1:2" ht="57.6" x14ac:dyDescent="0.3">
      <c r="B30" s="3" t="s">
        <v>10</v>
      </c>
    </row>
    <row r="31" spans="1:2" ht="28.8" x14ac:dyDescent="0.3">
      <c r="B31" s="3" t="s">
        <v>11</v>
      </c>
    </row>
  </sheetData>
  <pageMargins left="0.7" right="0.7" top="0.78740157499999996" bottom="0.78740157499999996"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F752302-5532-46E3-B84B-6ED4EA0B18F2}">
  <dimension ref="B2:AE162"/>
  <sheetViews>
    <sheetView showGridLines="0" topLeftCell="A79" zoomScale="53" zoomScaleNormal="85" workbookViewId="0">
      <selection activeCell="D3" sqref="D3:D9"/>
    </sheetView>
  </sheetViews>
  <sheetFormatPr baseColWidth="10" defaultColWidth="9.109375" defaultRowHeight="14.4" x14ac:dyDescent="0.3"/>
  <cols>
    <col min="2" max="2" width="25.6640625" customWidth="1"/>
    <col min="3" max="3" width="22.88671875" customWidth="1"/>
    <col min="4" max="4" width="20.5546875" customWidth="1"/>
    <col min="6" max="6" width="38.33203125" style="100" customWidth="1"/>
    <col min="7" max="7" width="40.33203125" style="114" customWidth="1"/>
    <col min="8" max="8" width="23.6640625" style="108" customWidth="1"/>
    <col min="9" max="9" width="21.88671875" style="108" customWidth="1"/>
    <col min="10" max="10" width="23.33203125" style="108" customWidth="1"/>
    <col min="11" max="11" width="16.5546875" style="108" bestFit="1" customWidth="1"/>
    <col min="12" max="12" width="35.33203125" style="108" customWidth="1"/>
    <col min="13" max="13" width="19.6640625" style="108" customWidth="1"/>
    <col min="14" max="14" width="33.109375" style="108" customWidth="1"/>
    <col min="15" max="15" width="19.88671875" style="108" customWidth="1"/>
    <col min="16" max="16" width="29.44140625" style="108" customWidth="1"/>
    <col min="17" max="17" width="19.88671875" style="108" customWidth="1"/>
    <col min="18" max="18" width="19.5546875" style="100" customWidth="1"/>
    <col min="19" max="19" width="15.44140625" bestFit="1" customWidth="1"/>
    <col min="20" max="20" width="21" customWidth="1"/>
    <col min="21" max="21" width="19.33203125" customWidth="1"/>
    <col min="22" max="22" width="23.88671875" customWidth="1"/>
    <col min="23" max="23" width="19.6640625" customWidth="1"/>
    <col min="24" max="24" width="28.6640625" customWidth="1"/>
    <col min="25" max="25" width="27.5546875" customWidth="1"/>
  </cols>
  <sheetData>
    <row r="2" spans="2:22" x14ac:dyDescent="0.3">
      <c r="B2" s="90" t="s">
        <v>382</v>
      </c>
      <c r="C2" s="90" t="s">
        <v>35</v>
      </c>
      <c r="D2" s="90" t="s">
        <v>36</v>
      </c>
      <c r="G2" s="113" t="s">
        <v>37</v>
      </c>
      <c r="H2" s="95" t="s">
        <v>38</v>
      </c>
      <c r="I2" s="95" t="s">
        <v>39</v>
      </c>
      <c r="J2" s="95" t="s">
        <v>40</v>
      </c>
      <c r="K2" s="95" t="s">
        <v>41</v>
      </c>
      <c r="L2" s="95" t="s">
        <v>42</v>
      </c>
      <c r="M2" s="204" t="s">
        <v>43</v>
      </c>
      <c r="N2" s="204" t="s">
        <v>400</v>
      </c>
      <c r="O2" s="206"/>
      <c r="P2" s="210"/>
      <c r="R2" s="95"/>
      <c r="S2" s="5"/>
      <c r="T2" s="95"/>
    </row>
    <row r="3" spans="2:22" x14ac:dyDescent="0.3">
      <c r="B3" s="7" t="s">
        <v>383</v>
      </c>
      <c r="C3" s="7" t="s">
        <v>44</v>
      </c>
      <c r="D3" s="171">
        <v>3.5000000000000003E-2</v>
      </c>
      <c r="G3" s="113" t="s">
        <v>45</v>
      </c>
      <c r="H3" s="102">
        <v>0.1</v>
      </c>
      <c r="I3" s="102">
        <v>0.2</v>
      </c>
      <c r="J3" s="102">
        <v>0.4</v>
      </c>
      <c r="K3" s="102">
        <v>0.6</v>
      </c>
      <c r="L3" s="102">
        <v>0.7</v>
      </c>
      <c r="M3" s="102">
        <v>0.8</v>
      </c>
      <c r="N3" s="205">
        <v>1</v>
      </c>
      <c r="O3" s="207"/>
      <c r="P3" s="211"/>
      <c r="Q3" s="95"/>
      <c r="R3" s="95" t="s">
        <v>395</v>
      </c>
      <c r="S3" s="5" t="s">
        <v>396</v>
      </c>
      <c r="T3" s="95" t="s">
        <v>397</v>
      </c>
      <c r="U3" s="95" t="s">
        <v>398</v>
      </c>
      <c r="V3" s="95" t="s">
        <v>399</v>
      </c>
    </row>
    <row r="4" spans="2:22" x14ac:dyDescent="0.3">
      <c r="B4" s="7" t="s">
        <v>384</v>
      </c>
      <c r="C4" s="7" t="s">
        <v>337</v>
      </c>
      <c r="D4" s="171">
        <f>'Activities-Direct Mitigation'!H4</f>
        <v>0.20369278454047154</v>
      </c>
      <c r="G4" s="113" t="s">
        <v>46</v>
      </c>
      <c r="H4" s="103">
        <f>SUM($I12:$I54)*H3</f>
        <v>1604595.5301417613</v>
      </c>
      <c r="I4" s="103">
        <f t="shared" ref="I4:N4" si="0">SUM($I12:$I54)*I3</f>
        <v>3209191.0602835226</v>
      </c>
      <c r="J4" s="103">
        <f t="shared" si="0"/>
        <v>6418382.1205670452</v>
      </c>
      <c r="K4" s="103">
        <f t="shared" si="0"/>
        <v>9627573.1808505673</v>
      </c>
      <c r="L4" s="103">
        <f t="shared" si="0"/>
        <v>11232168.710992327</v>
      </c>
      <c r="M4" s="103">
        <f t="shared" si="0"/>
        <v>12836764.24113409</v>
      </c>
      <c r="N4" s="103">
        <f t="shared" si="0"/>
        <v>16045955.301417612</v>
      </c>
      <c r="O4" s="221" t="s">
        <v>392</v>
      </c>
      <c r="P4" s="223">
        <f>N4/N5</f>
        <v>0.54152501379102658</v>
      </c>
      <c r="Q4" s="217" t="s">
        <v>390</v>
      </c>
      <c r="R4" s="212">
        <f>N4</f>
        <v>16045955.301417612</v>
      </c>
      <c r="S4" s="219">
        <f>P4*S5*13/7</f>
        <v>27494310.454539347</v>
      </c>
      <c r="T4" s="112">
        <f>P4*T5*10/7</f>
        <v>19513331.465242442</v>
      </c>
      <c r="U4" s="225">
        <f>N4+S4</f>
        <v>43540265.755956963</v>
      </c>
      <c r="V4" s="225">
        <f>U4+T4</f>
        <v>63053597.221199408</v>
      </c>
    </row>
    <row r="5" spans="2:22" x14ac:dyDescent="0.3">
      <c r="B5" s="7" t="s">
        <v>385</v>
      </c>
      <c r="C5" s="7" t="s">
        <v>338</v>
      </c>
      <c r="D5" s="171">
        <f>'Activities-Direct Mitigation'!H5</f>
        <v>3.6706670808287538E-2</v>
      </c>
      <c r="G5" s="113" t="s">
        <v>48</v>
      </c>
      <c r="H5" s="104">
        <f>'Baseline FRL'!C18</f>
        <v>29631051</v>
      </c>
      <c r="I5" s="104">
        <f>H5</f>
        <v>29631051</v>
      </c>
      <c r="J5" s="104">
        <f t="shared" ref="J5:K5" si="1">I5</f>
        <v>29631051</v>
      </c>
      <c r="K5" s="104">
        <f t="shared" si="1"/>
        <v>29631051</v>
      </c>
      <c r="L5" s="104">
        <f>K5</f>
        <v>29631051</v>
      </c>
      <c r="M5" s="104">
        <f>K5</f>
        <v>29631051</v>
      </c>
      <c r="N5" s="104">
        <f>M5</f>
        <v>29631051</v>
      </c>
      <c r="O5" s="222" t="s">
        <v>393</v>
      </c>
      <c r="P5" s="223">
        <f>(N4/7)/N5</f>
        <v>7.736071625586094E-2</v>
      </c>
      <c r="Q5" s="218" t="s">
        <v>391</v>
      </c>
      <c r="R5" s="213">
        <f>M5</f>
        <v>29631051</v>
      </c>
      <c r="S5" s="220">
        <f>N5*(1-P5)</f>
        <v>27338771.671226054</v>
      </c>
      <c r="T5" s="112">
        <f>S5*(1-P5)</f>
        <v>25223824.713184565</v>
      </c>
    </row>
    <row r="6" spans="2:22" x14ac:dyDescent="0.3">
      <c r="B6" s="7" t="s">
        <v>386</v>
      </c>
      <c r="C6" s="7" t="s">
        <v>339</v>
      </c>
      <c r="D6" s="171">
        <f>'Activities-Direct Mitigation'!H7</f>
        <v>0.125</v>
      </c>
      <c r="N6" s="208"/>
      <c r="O6" s="208"/>
      <c r="P6" s="214"/>
      <c r="Q6" s="214"/>
      <c r="R6" s="215"/>
      <c r="S6" s="216"/>
    </row>
    <row r="7" spans="2:22" x14ac:dyDescent="0.3">
      <c r="B7" s="7" t="s">
        <v>387</v>
      </c>
      <c r="C7" s="7" t="s">
        <v>341</v>
      </c>
      <c r="D7" s="171">
        <f>'Activities-Direct Mitigation'!H9</f>
        <v>0.43871762713523332</v>
      </c>
      <c r="H7" s="106"/>
      <c r="I7" s="106"/>
      <c r="J7" s="106"/>
      <c r="K7" s="106"/>
      <c r="L7" s="106"/>
      <c r="M7" s="106"/>
      <c r="N7" s="209"/>
      <c r="O7" s="209"/>
      <c r="P7" s="209"/>
      <c r="Q7" s="209"/>
    </row>
    <row r="8" spans="2:22" x14ac:dyDescent="0.3">
      <c r="B8" s="7" t="s">
        <v>388</v>
      </c>
      <c r="C8" s="7" t="s">
        <v>342</v>
      </c>
      <c r="D8" s="171">
        <f>'Activities-Direct Mitigation'!H14</f>
        <v>1.4134413836277702E-2</v>
      </c>
    </row>
    <row r="9" spans="2:22" x14ac:dyDescent="0.3">
      <c r="B9" s="7"/>
      <c r="C9" s="7"/>
      <c r="D9" s="172"/>
    </row>
    <row r="10" spans="2:22" ht="29.4" customHeight="1" x14ac:dyDescent="0.3">
      <c r="B10" s="7" t="s">
        <v>56</v>
      </c>
      <c r="C10" s="7" t="s">
        <v>47</v>
      </c>
      <c r="D10" s="171">
        <v>0</v>
      </c>
      <c r="G10" s="285" t="s">
        <v>50</v>
      </c>
      <c r="H10" s="285"/>
      <c r="I10" s="285"/>
      <c r="K10" s="285" t="s">
        <v>50</v>
      </c>
      <c r="L10" s="285"/>
      <c r="M10" s="285"/>
    </row>
    <row r="11" spans="2:22" ht="30.6" customHeight="1" x14ac:dyDescent="0.3">
      <c r="G11" s="256" t="s">
        <v>51</v>
      </c>
      <c r="H11" s="257" t="s">
        <v>52</v>
      </c>
      <c r="I11" s="258" t="s">
        <v>53</v>
      </c>
      <c r="J11"/>
      <c r="K11" s="163" t="s">
        <v>481</v>
      </c>
      <c r="L11" s="164" t="s">
        <v>500</v>
      </c>
      <c r="M11" s="267" t="s">
        <v>394</v>
      </c>
      <c r="N11" s="272"/>
      <c r="O11"/>
      <c r="P11"/>
      <c r="Q11"/>
      <c r="R11"/>
    </row>
    <row r="12" spans="2:22" ht="16.95" customHeight="1" x14ac:dyDescent="0.3">
      <c r="C12" s="8" t="s">
        <v>49</v>
      </c>
      <c r="D12" s="105">
        <v>1</v>
      </c>
      <c r="G12" s="259" t="s">
        <v>403</v>
      </c>
      <c r="H12" s="260" t="s">
        <v>404</v>
      </c>
      <c r="I12" s="261">
        <f>VLOOKUP(H12,'Pivot ER'!$D$12:$E$87,2,FALSE)</f>
        <v>0</v>
      </c>
      <c r="J12"/>
      <c r="K12" s="276" t="s">
        <v>501</v>
      </c>
      <c r="L12" s="252"/>
      <c r="M12" s="268">
        <f>SUM(M13:M15)</f>
        <v>7620236.7633892233</v>
      </c>
      <c r="N12" s="272"/>
      <c r="O12" s="117"/>
      <c r="P12" s="117"/>
      <c r="Q12" s="117"/>
      <c r="R12"/>
    </row>
    <row r="13" spans="2:22" ht="17.399999999999999" customHeight="1" x14ac:dyDescent="0.3">
      <c r="C13" s="8"/>
      <c r="D13" s="107"/>
      <c r="G13" s="262"/>
      <c r="H13" s="3" t="s">
        <v>405</v>
      </c>
      <c r="I13" s="263">
        <f>VLOOKUP(H13,'Pivot ER'!$D$12:$E$87,2,FALSE)</f>
        <v>0</v>
      </c>
      <c r="J13"/>
      <c r="K13" s="165"/>
      <c r="L13" s="247" t="s">
        <v>402</v>
      </c>
      <c r="M13" s="119">
        <f>VLOOKUP(L13,'Pivot ER'!$H$11:$J$45,3,FALSE)</f>
        <v>6489489.9299999997</v>
      </c>
      <c r="N13" s="273"/>
      <c r="O13"/>
      <c r="P13"/>
      <c r="Q13"/>
      <c r="R13"/>
    </row>
    <row r="14" spans="2:22" x14ac:dyDescent="0.3">
      <c r="C14" s="8"/>
      <c r="D14" s="101"/>
      <c r="G14" s="262"/>
      <c r="H14" s="3" t="s">
        <v>406</v>
      </c>
      <c r="I14" s="263">
        <f>VLOOKUP(H14,'Pivot ER'!$D$12:$E$87,2,FALSE)</f>
        <v>0</v>
      </c>
      <c r="J14"/>
      <c r="K14" s="165"/>
      <c r="L14" s="247" t="s">
        <v>482</v>
      </c>
      <c r="M14" s="119">
        <f>VLOOKUP(L14,'Pivot ER'!$H$11:$J$45,3,FALSE)</f>
        <v>1041467.4104170753</v>
      </c>
      <c r="N14" s="273"/>
      <c r="O14"/>
      <c r="P14"/>
      <c r="Q14"/>
      <c r="R14"/>
    </row>
    <row r="15" spans="2:22" x14ac:dyDescent="0.3">
      <c r="G15" s="262" t="s">
        <v>407</v>
      </c>
      <c r="H15" s="3" t="s">
        <v>408</v>
      </c>
      <c r="I15" s="263">
        <f>VLOOKUP(H15,'Pivot ER'!$D$12:$E$87,2,FALSE)</f>
        <v>1081581.655</v>
      </c>
      <c r="J15"/>
      <c r="K15" s="165"/>
      <c r="L15" s="247" t="s">
        <v>424</v>
      </c>
      <c r="M15" s="119">
        <f>VLOOKUP(L15,'Pivot ER'!$H$11:$J$45,3,FALSE)</f>
        <v>89279.422972148124</v>
      </c>
      <c r="N15" s="273"/>
      <c r="O15"/>
      <c r="P15"/>
      <c r="Q15"/>
      <c r="R15"/>
    </row>
    <row r="16" spans="2:22" x14ac:dyDescent="0.3">
      <c r="G16" s="262"/>
      <c r="H16" s="3" t="s">
        <v>409</v>
      </c>
      <c r="I16" s="263">
        <f>VLOOKUP(H16,'Pivot ER'!$D$12:$E$87,2,FALSE)</f>
        <v>1081581.655</v>
      </c>
      <c r="J16"/>
      <c r="K16" s="278" t="s">
        <v>502</v>
      </c>
      <c r="L16" s="254"/>
      <c r="M16" s="269">
        <f>SUM(M17)</f>
        <v>3965632.822213538</v>
      </c>
      <c r="N16" s="272"/>
      <c r="O16"/>
      <c r="P16"/>
      <c r="Q16"/>
      <c r="R16"/>
    </row>
    <row r="17" spans="7:18" x14ac:dyDescent="0.3">
      <c r="G17" s="262"/>
      <c r="H17" s="3" t="s">
        <v>410</v>
      </c>
      <c r="I17" s="263">
        <f>VLOOKUP(H17,'Pivot ER'!$D$12:$E$87,2,FALSE)</f>
        <v>1081581.655</v>
      </c>
      <c r="J17"/>
      <c r="K17" s="165"/>
      <c r="L17" s="255" t="s">
        <v>432</v>
      </c>
      <c r="M17" s="119">
        <f>VLOOKUP(L17,'Pivot ER'!$H$11:$J$45,3,FALSE)</f>
        <v>3965632.822213538</v>
      </c>
      <c r="N17" s="273"/>
      <c r="O17"/>
      <c r="P17"/>
      <c r="Q17"/>
      <c r="R17"/>
    </row>
    <row r="18" spans="7:18" x14ac:dyDescent="0.3">
      <c r="G18" s="262"/>
      <c r="H18" s="3" t="s">
        <v>411</v>
      </c>
      <c r="I18" s="263">
        <f>VLOOKUP(H18,'Pivot ER'!$D$12:$E$87,2,FALSE)</f>
        <v>1081581.655</v>
      </c>
      <c r="J18"/>
      <c r="K18" s="277" t="s">
        <v>503</v>
      </c>
      <c r="L18" s="121"/>
      <c r="M18" s="270">
        <f>SUM(M19:M20)</f>
        <v>4460085.7158148512</v>
      </c>
      <c r="N18" s="272"/>
      <c r="O18"/>
      <c r="P18"/>
      <c r="Q18"/>
      <c r="R18"/>
    </row>
    <row r="19" spans="7:18" x14ac:dyDescent="0.3">
      <c r="G19" s="262" t="s">
        <v>412</v>
      </c>
      <c r="H19" s="3" t="s">
        <v>413</v>
      </c>
      <c r="I19" s="263">
        <f>VLOOKUP(H19,'Pivot ER'!$D$12:$E$87,2,FALSE)</f>
        <v>1081581.655</v>
      </c>
      <c r="J19"/>
      <c r="K19" s="165"/>
      <c r="L19" s="3" t="s">
        <v>448</v>
      </c>
      <c r="M19" s="119">
        <f>VLOOKUP(L19,'Pivot ER'!$H$11:$J$45,3,FALSE)</f>
        <v>2797814.3754164334</v>
      </c>
      <c r="N19" s="273"/>
      <c r="O19"/>
      <c r="P19"/>
      <c r="Q19"/>
      <c r="R19"/>
    </row>
    <row r="20" spans="7:18" x14ac:dyDescent="0.3">
      <c r="H20" s="3" t="s">
        <v>414</v>
      </c>
      <c r="I20" s="263">
        <f>VLOOKUP(H20,'Pivot ER'!$D$12:$E$87,2,FALSE)</f>
        <v>1081581.655</v>
      </c>
      <c r="J20"/>
      <c r="K20" s="166"/>
      <c r="L20" s="167" t="s">
        <v>467</v>
      </c>
      <c r="M20" s="271">
        <f>VLOOKUP(L20,'Pivot ER'!$H$11:$J$45,3,FALSE)</f>
        <v>1662271.3403984178</v>
      </c>
      <c r="N20" s="273"/>
      <c r="O20"/>
      <c r="P20"/>
      <c r="Q20"/>
      <c r="R20"/>
    </row>
    <row r="21" spans="7:18" x14ac:dyDescent="0.3">
      <c r="G21" s="262" t="s">
        <v>415</v>
      </c>
      <c r="H21" s="3" t="s">
        <v>416</v>
      </c>
      <c r="I21" s="263">
        <f>VLOOKUP(H21,'Pivot ER'!$D$12:$E$87,2,FALSE)</f>
        <v>118082.96529787737</v>
      </c>
      <c r="J21"/>
      <c r="K21" t="s">
        <v>343</v>
      </c>
      <c r="L21" s="3"/>
      <c r="M21" s="119"/>
      <c r="N21" s="274"/>
      <c r="O21"/>
      <c r="P21"/>
      <c r="Q21"/>
      <c r="R21"/>
    </row>
    <row r="22" spans="7:18" x14ac:dyDescent="0.3">
      <c r="G22" s="262"/>
      <c r="H22" s="3" t="s">
        <v>417</v>
      </c>
      <c r="I22" s="263">
        <f>VLOOKUP(H22,'Pivot ER'!$D$12:$E$87,2,FALSE)</f>
        <v>687218.5145234433</v>
      </c>
      <c r="J22"/>
      <c r="K22"/>
      <c r="L22"/>
      <c r="M22"/>
      <c r="N22" s="274"/>
      <c r="O22"/>
      <c r="P22"/>
      <c r="Q22"/>
      <c r="R22"/>
    </row>
    <row r="23" spans="7:18" x14ac:dyDescent="0.3">
      <c r="G23" s="262"/>
      <c r="H23" s="3" t="s">
        <v>418</v>
      </c>
      <c r="I23" s="263">
        <f>VLOOKUP(H23,'Pivot ER'!$D$12:$E$87,2,FALSE)</f>
        <v>118082.96529787737</v>
      </c>
      <c r="J23"/>
      <c r="K23"/>
      <c r="L23"/>
      <c r="M23" s="158">
        <f>M12+M16+M18</f>
        <v>16045955.301417612</v>
      </c>
      <c r="N23" s="275"/>
      <c r="O23"/>
      <c r="P23"/>
      <c r="Q23"/>
      <c r="R23"/>
    </row>
    <row r="24" spans="7:18" x14ac:dyDescent="0.3">
      <c r="G24" s="262"/>
      <c r="H24" s="3" t="s">
        <v>419</v>
      </c>
      <c r="I24" s="263">
        <f>VLOOKUP(H24,'Pivot ER'!$D$12:$E$87,2,FALSE)</f>
        <v>118082.96529787737</v>
      </c>
      <c r="J24"/>
      <c r="M24" s="208">
        <f>M23/7</f>
        <v>2292279.3287739446</v>
      </c>
      <c r="O24"/>
      <c r="P24"/>
      <c r="Q24"/>
      <c r="R24"/>
    </row>
    <row r="25" spans="7:18" x14ac:dyDescent="0.3">
      <c r="G25" s="262"/>
      <c r="H25" s="3" t="s">
        <v>420</v>
      </c>
      <c r="I25" s="263">
        <f>VLOOKUP(H25,'Pivot ER'!$D$12:$E$87,2,FALSE)</f>
        <v>0</v>
      </c>
      <c r="J25"/>
      <c r="O25"/>
      <c r="P25"/>
      <c r="Q25"/>
      <c r="R25"/>
    </row>
    <row r="26" spans="7:18" x14ac:dyDescent="0.3">
      <c r="G26" s="262" t="s">
        <v>426</v>
      </c>
      <c r="H26" s="3" t="s">
        <v>428</v>
      </c>
      <c r="I26" s="263">
        <f>VLOOKUP(H26,'Pivot ER'!$D$12:$E$87,2,FALSE)</f>
        <v>44639.711486074062</v>
      </c>
      <c r="J26"/>
      <c r="R26"/>
    </row>
    <row r="27" spans="7:18" x14ac:dyDescent="0.3">
      <c r="G27" s="262"/>
      <c r="H27" s="3" t="s">
        <v>430</v>
      </c>
      <c r="I27" s="263">
        <f>VLOOKUP(H27,'Pivot ER'!$D$12:$E$87,2,FALSE)</f>
        <v>44639.711486074062</v>
      </c>
      <c r="J27"/>
      <c r="O27"/>
      <c r="P27"/>
      <c r="Q27"/>
      <c r="R27"/>
    </row>
    <row r="28" spans="7:18" x14ac:dyDescent="0.3">
      <c r="G28" s="262" t="s">
        <v>434</v>
      </c>
      <c r="H28" s="3" t="s">
        <v>436</v>
      </c>
      <c r="I28" s="263">
        <f>VLOOKUP(H28,'Pivot ER'!$D$12:$E$87,2,FALSE)</f>
        <v>878535.96389428922</v>
      </c>
      <c r="J28"/>
      <c r="O28"/>
      <c r="P28"/>
      <c r="Q28"/>
      <c r="R28"/>
    </row>
    <row r="29" spans="7:18" x14ac:dyDescent="0.3">
      <c r="G29" s="262" t="s">
        <v>438</v>
      </c>
      <c r="H29" s="3" t="s">
        <v>439</v>
      </c>
      <c r="I29" s="263">
        <f>VLOOKUP(H29,'Pivot ER'!$D$12:$E$87,2,FALSE)</f>
        <v>921375.15485455003</v>
      </c>
      <c r="J29"/>
      <c r="O29"/>
      <c r="P29"/>
      <c r="Q29"/>
      <c r="R29"/>
    </row>
    <row r="30" spans="7:18" x14ac:dyDescent="0.3">
      <c r="G30" s="262"/>
      <c r="H30" s="3" t="s">
        <v>441</v>
      </c>
      <c r="I30" s="263">
        <f>VLOOKUP(H30,'Pivot ER'!$D$12:$E$87,2,FALSE)</f>
        <v>721907.23448823288</v>
      </c>
      <c r="J30"/>
      <c r="O30"/>
      <c r="P30"/>
      <c r="Q30"/>
      <c r="R30"/>
    </row>
    <row r="31" spans="7:18" x14ac:dyDescent="0.3">
      <c r="G31" s="262"/>
      <c r="H31" s="3" t="s">
        <v>443</v>
      </c>
      <c r="I31" s="263">
        <f>VLOOKUP(H31,'Pivot ER'!$D$12:$E$87,2,FALSE)</f>
        <v>721907.23448823288</v>
      </c>
      <c r="J31"/>
      <c r="K31"/>
      <c r="L31"/>
      <c r="M31"/>
      <c r="N31"/>
      <c r="O31"/>
      <c r="P31"/>
      <c r="Q31"/>
      <c r="R31"/>
    </row>
    <row r="32" spans="7:18" x14ac:dyDescent="0.3">
      <c r="G32" s="262" t="s">
        <v>445</v>
      </c>
      <c r="H32" s="3" t="s">
        <v>446</v>
      </c>
      <c r="I32" s="263">
        <f>VLOOKUP(H32,'Pivot ER'!$D$12:$E$87,2,FALSE)</f>
        <v>721907.23448823288</v>
      </c>
      <c r="J32"/>
      <c r="K32"/>
      <c r="L32"/>
      <c r="M32"/>
      <c r="N32"/>
      <c r="O32"/>
      <c r="P32"/>
      <c r="Q32"/>
      <c r="R32"/>
    </row>
    <row r="33" spans="7:18" x14ac:dyDescent="0.3">
      <c r="G33" s="262" t="s">
        <v>483</v>
      </c>
      <c r="H33" s="3" t="s">
        <v>485</v>
      </c>
      <c r="I33" s="263">
        <f>VLOOKUP(H33,'Pivot ER'!$D$12:$E$87,2,FALSE)</f>
        <v>0</v>
      </c>
      <c r="J33"/>
      <c r="K33"/>
      <c r="L33"/>
      <c r="M33"/>
      <c r="N33"/>
      <c r="O33"/>
      <c r="P33"/>
      <c r="Q33"/>
      <c r="R33"/>
    </row>
    <row r="34" spans="7:18" x14ac:dyDescent="0.3">
      <c r="G34" s="262" t="s">
        <v>486</v>
      </c>
      <c r="H34" s="3" t="s">
        <v>488</v>
      </c>
      <c r="I34" s="263">
        <f>VLOOKUP(H34,'Pivot ER'!$D$12:$E$87,2,FALSE)</f>
        <v>0</v>
      </c>
      <c r="J34"/>
      <c r="K34"/>
      <c r="L34"/>
      <c r="M34"/>
      <c r="N34"/>
      <c r="O34"/>
      <c r="P34"/>
      <c r="Q34"/>
      <c r="R34"/>
    </row>
    <row r="35" spans="7:18" x14ac:dyDescent="0.3">
      <c r="G35" s="262"/>
      <c r="H35" s="3" t="s">
        <v>490</v>
      </c>
      <c r="I35" s="263">
        <f>VLOOKUP(H35,'Pivot ER'!$D$12:$E$87,2,FALSE)</f>
        <v>0</v>
      </c>
      <c r="J35"/>
      <c r="K35"/>
      <c r="L35"/>
      <c r="M35"/>
      <c r="N35"/>
      <c r="O35"/>
      <c r="P35"/>
      <c r="Q35"/>
      <c r="R35"/>
    </row>
    <row r="36" spans="7:18" x14ac:dyDescent="0.3">
      <c r="G36" s="262"/>
      <c r="H36" s="3" t="s">
        <v>492</v>
      </c>
      <c r="I36" s="263">
        <f>VLOOKUP(H36,'Pivot ER'!$D$12:$E$87,2,FALSE)</f>
        <v>0</v>
      </c>
      <c r="J36"/>
      <c r="K36"/>
      <c r="L36"/>
      <c r="M36"/>
      <c r="N36"/>
      <c r="O36"/>
      <c r="P36"/>
      <c r="Q36"/>
      <c r="R36"/>
    </row>
    <row r="37" spans="7:18" x14ac:dyDescent="0.3">
      <c r="G37" s="262"/>
      <c r="H37" s="3" t="s">
        <v>494</v>
      </c>
      <c r="I37" s="263">
        <f>VLOOKUP(H37,'Pivot ER'!$D$12:$E$87,2,FALSE)</f>
        <v>0</v>
      </c>
      <c r="J37"/>
      <c r="K37"/>
      <c r="L37"/>
      <c r="M37"/>
      <c r="N37"/>
      <c r="O37"/>
      <c r="P37"/>
      <c r="Q37"/>
      <c r="R37"/>
    </row>
    <row r="38" spans="7:18" x14ac:dyDescent="0.3">
      <c r="G38" s="262"/>
      <c r="H38" s="3" t="s">
        <v>496</v>
      </c>
      <c r="I38" s="263">
        <f>VLOOKUP(H38,'Pivot ER'!$D$12:$E$87,2,FALSE)</f>
        <v>0</v>
      </c>
      <c r="J38"/>
      <c r="K38"/>
      <c r="L38"/>
      <c r="M38"/>
      <c r="N38"/>
      <c r="O38"/>
      <c r="P38"/>
      <c r="Q38"/>
      <c r="R38"/>
    </row>
    <row r="39" spans="7:18" x14ac:dyDescent="0.3">
      <c r="G39" s="262"/>
      <c r="H39" s="3" t="s">
        <v>498</v>
      </c>
      <c r="I39" s="263">
        <f>VLOOKUP(H39,'Pivot ER'!$D$12:$E$87,2,FALSE)</f>
        <v>0</v>
      </c>
      <c r="J39"/>
      <c r="K39"/>
      <c r="L39"/>
      <c r="M39"/>
      <c r="N39"/>
      <c r="O39"/>
      <c r="P39"/>
      <c r="Q39"/>
      <c r="R39"/>
    </row>
    <row r="40" spans="7:18" x14ac:dyDescent="0.3">
      <c r="G40" s="262" t="s">
        <v>450</v>
      </c>
      <c r="H40" s="3" t="s">
        <v>452</v>
      </c>
      <c r="I40" s="263">
        <f>VLOOKUP(H40,'Pivot ER'!$D$12:$E$87,2,FALSE)</f>
        <v>600249.30306203058</v>
      </c>
      <c r="J40"/>
      <c r="K40"/>
      <c r="L40"/>
      <c r="M40"/>
      <c r="N40"/>
      <c r="O40"/>
      <c r="P40"/>
      <c r="Q40"/>
      <c r="R40"/>
    </row>
    <row r="41" spans="7:18" x14ac:dyDescent="0.3">
      <c r="G41" s="262"/>
      <c r="H41" s="3" t="s">
        <v>453</v>
      </c>
      <c r="I41" s="263">
        <f>VLOOKUP(H41,'Pivot ER'!$D$12:$E$87,2,FALSE)</f>
        <v>600249.30306203058</v>
      </c>
      <c r="J41"/>
      <c r="K41"/>
      <c r="L41"/>
      <c r="M41"/>
      <c r="N41"/>
      <c r="O41"/>
      <c r="P41"/>
      <c r="Q41"/>
      <c r="R41"/>
    </row>
    <row r="42" spans="7:18" x14ac:dyDescent="0.3">
      <c r="G42" s="262"/>
      <c r="H42" s="3" t="s">
        <v>455</v>
      </c>
      <c r="I42" s="263">
        <f>VLOOKUP(H42,'Pivot ER'!$D$12:$E$87,2,FALSE)</f>
        <v>600249.30306203058</v>
      </c>
      <c r="J42"/>
      <c r="K42"/>
      <c r="L42"/>
      <c r="M42"/>
      <c r="N42"/>
      <c r="O42"/>
      <c r="P42"/>
      <c r="Q42"/>
      <c r="R42"/>
    </row>
    <row r="43" spans="7:18" x14ac:dyDescent="0.3">
      <c r="G43" s="262"/>
      <c r="H43" s="3" t="s">
        <v>457</v>
      </c>
      <c r="I43" s="263">
        <f>VLOOKUP(H43,'Pivot ER'!$D$12:$E$87,2,FALSE)</f>
        <v>997066.46623034193</v>
      </c>
      <c r="J43"/>
      <c r="K43"/>
      <c r="L43"/>
      <c r="M43"/>
      <c r="N43"/>
      <c r="O43"/>
      <c r="P43"/>
      <c r="Q43"/>
      <c r="R43"/>
    </row>
    <row r="44" spans="7:18" x14ac:dyDescent="0.3">
      <c r="G44" s="262" t="s">
        <v>459</v>
      </c>
      <c r="H44" s="3" t="s">
        <v>461</v>
      </c>
      <c r="I44" s="263">
        <f>VLOOKUP(H44,'Pivot ER'!$D$12:$E$87,2,FALSE)</f>
        <v>0</v>
      </c>
      <c r="J44"/>
      <c r="K44"/>
      <c r="L44"/>
      <c r="M44"/>
      <c r="N44"/>
      <c r="O44"/>
      <c r="P44"/>
      <c r="Q44"/>
      <c r="R44"/>
    </row>
    <row r="45" spans="7:18" x14ac:dyDescent="0.3">
      <c r="G45" s="262"/>
      <c r="H45" s="3" t="s">
        <v>463</v>
      </c>
      <c r="I45" s="263">
        <f>VLOOKUP(H45,'Pivot ER'!$D$12:$E$87,2,FALSE)</f>
        <v>0</v>
      </c>
    </row>
    <row r="46" spans="7:18" x14ac:dyDescent="0.3">
      <c r="G46" s="262"/>
      <c r="H46" s="3" t="s">
        <v>465</v>
      </c>
      <c r="I46" s="263">
        <f>VLOOKUP(H46,'Pivot ER'!$D$12:$E$87,2,FALSE)</f>
        <v>0</v>
      </c>
    </row>
    <row r="47" spans="7:18" x14ac:dyDescent="0.3">
      <c r="G47" s="262" t="s">
        <v>387</v>
      </c>
      <c r="H47" s="3" t="s">
        <v>469</v>
      </c>
      <c r="I47" s="263">
        <f>VLOOKUP(H47,'Pivot ER'!$D$12:$E$87,2,FALSE)</f>
        <v>559549.37997633812</v>
      </c>
    </row>
    <row r="48" spans="7:18" x14ac:dyDescent="0.3">
      <c r="G48" s="262"/>
      <c r="H48" s="3" t="s">
        <v>470</v>
      </c>
      <c r="I48" s="263">
        <f>VLOOKUP(H48,'Pivot ER'!$D$12:$E$87,2,FALSE)</f>
        <v>44639.711486074062</v>
      </c>
    </row>
    <row r="49" spans="6:13" x14ac:dyDescent="0.3">
      <c r="G49" s="262"/>
      <c r="H49" s="3" t="s">
        <v>471</v>
      </c>
      <c r="I49" s="263">
        <f>VLOOKUP(H49,'Pivot ER'!$D$12:$E$87,2,FALSE)</f>
        <v>44639.711486074062</v>
      </c>
    </row>
    <row r="50" spans="6:13" x14ac:dyDescent="0.3">
      <c r="G50" s="262"/>
      <c r="H50" s="3" t="s">
        <v>472</v>
      </c>
      <c r="I50" s="263">
        <f>VLOOKUP(H50,'Pivot ER'!$D$12:$E$87,2,FALSE)</f>
        <v>291535.30296169844</v>
      </c>
    </row>
    <row r="51" spans="6:13" x14ac:dyDescent="0.3">
      <c r="G51" s="262"/>
      <c r="H51" s="3" t="s">
        <v>473</v>
      </c>
      <c r="I51" s="263">
        <f>VLOOKUP(H51,'Pivot ER'!$D$12:$E$87,2,FALSE)</f>
        <v>0</v>
      </c>
    </row>
    <row r="52" spans="6:13" x14ac:dyDescent="0.3">
      <c r="G52" s="262"/>
      <c r="H52" s="3" t="s">
        <v>474</v>
      </c>
      <c r="I52" s="263">
        <f>VLOOKUP(H52,'Pivot ER'!$D$12:$E$87,2,FALSE)</f>
        <v>721907.23448823288</v>
      </c>
    </row>
    <row r="53" spans="6:13" x14ac:dyDescent="0.3">
      <c r="G53" s="262"/>
      <c r="H53" s="3" t="s">
        <v>475</v>
      </c>
      <c r="I53" s="263">
        <f>VLOOKUP(H53,'Pivot ER'!$D$12:$E$87,2,FALSE)</f>
        <v>0</v>
      </c>
    </row>
    <row r="54" spans="6:13" x14ac:dyDescent="0.3">
      <c r="F54" s="114"/>
      <c r="G54" s="253"/>
      <c r="H54" s="167" t="s">
        <v>477</v>
      </c>
      <c r="I54" s="264">
        <f>VLOOKUP(H54,'Pivot ER'!$D$12:$E$87,2,FALSE)</f>
        <v>0</v>
      </c>
    </row>
    <row r="55" spans="6:13" x14ac:dyDescent="0.3">
      <c r="G55" s="108"/>
      <c r="I55" s="122">
        <f>SUM(I12:I54)</f>
        <v>16045955.301417612</v>
      </c>
    </row>
    <row r="56" spans="6:13" x14ac:dyDescent="0.3">
      <c r="G56" s="114" t="s">
        <v>61</v>
      </c>
    </row>
    <row r="57" spans="6:13" ht="28.8" x14ac:dyDescent="0.3">
      <c r="G57" s="139" t="s">
        <v>62</v>
      </c>
      <c r="H57" s="139" t="s">
        <v>63</v>
      </c>
      <c r="I57" s="139" t="s">
        <v>64</v>
      </c>
      <c r="J57" s="139" t="s">
        <v>65</v>
      </c>
      <c r="K57" s="139" t="s">
        <v>66</v>
      </c>
    </row>
    <row r="58" spans="6:13" x14ac:dyDescent="0.3">
      <c r="G58" s="7" t="s">
        <v>67</v>
      </c>
      <c r="H58" s="96">
        <f>SUM('Baseline FRL'!C3:C7)</f>
        <v>29423698</v>
      </c>
      <c r="I58" s="96">
        <f>H58-J58</f>
        <v>27237069.226056281</v>
      </c>
      <c r="J58" s="96">
        <f>SUM('Pivot ER'!G106:G110)/7</f>
        <v>2186628.7739437181</v>
      </c>
      <c r="K58" s="124">
        <f>J58*7</f>
        <v>15306401.417606026</v>
      </c>
      <c r="L58" s="108">
        <f>ABS(K58)</f>
        <v>15306401.417606026</v>
      </c>
      <c r="M58" s="146">
        <f>L58/L$64</f>
        <v>0.95457730874634439</v>
      </c>
    </row>
    <row r="59" spans="6:13" x14ac:dyDescent="0.3">
      <c r="G59" s="7" t="s">
        <v>68</v>
      </c>
      <c r="H59" s="96">
        <f>SUM('Baseline FRL'!C9:C11)</f>
        <v>825041</v>
      </c>
      <c r="I59" s="96">
        <f>H59-J59</f>
        <v>765850.18440303742</v>
      </c>
      <c r="J59" s="96">
        <f>SUM('Pivot ER'!G111:G113)/7</f>
        <v>59190.815596962522</v>
      </c>
      <c r="K59" s="124">
        <f t="shared" ref="K59" si="2">J59*7</f>
        <v>414335.70917873766</v>
      </c>
      <c r="L59" s="108">
        <f t="shared" ref="L59:L60" si="3">ABS(K59)</f>
        <v>414335.70917873766</v>
      </c>
      <c r="M59" s="146">
        <f>L59/L$64</f>
        <v>2.5839872834539018E-2</v>
      </c>
    </row>
    <row r="60" spans="6:13" x14ac:dyDescent="0.3">
      <c r="G60" s="7" t="s">
        <v>513</v>
      </c>
      <c r="H60" s="96">
        <f>SUM('Baseline FRL'!C13)</f>
        <v>-639758</v>
      </c>
      <c r="I60" s="96">
        <f>H60-J60</f>
        <v>-684615.92176056618</v>
      </c>
      <c r="J60" s="96">
        <f>SUM('Pivot ER'!G114)/7</f>
        <v>44857.921760566132</v>
      </c>
      <c r="K60" s="124">
        <f>J60*7</f>
        <v>314005.45232396293</v>
      </c>
      <c r="L60" s="108">
        <f t="shared" si="3"/>
        <v>314005.45232396293</v>
      </c>
      <c r="M60" s="146">
        <f>L60/L$64</f>
        <v>1.9582818419116559E-2</v>
      </c>
    </row>
    <row r="61" spans="6:13" x14ac:dyDescent="0.3">
      <c r="G61" s="7" t="s">
        <v>514</v>
      </c>
      <c r="H61" s="96">
        <f>SUM('Baseline FRL'!C14)</f>
        <v>22070</v>
      </c>
      <c r="I61" s="96">
        <f>H61-J61</f>
        <v>20468.182527301822</v>
      </c>
      <c r="J61" s="96">
        <f>SUM('Pivot ER'!G115)/7</f>
        <v>1601.8174726981777</v>
      </c>
      <c r="K61" s="124">
        <f>J61*7</f>
        <v>11212.722308887243</v>
      </c>
      <c r="M61" s="146"/>
    </row>
    <row r="62" spans="6:13" x14ac:dyDescent="0.3">
      <c r="G62" s="90" t="s">
        <v>510</v>
      </c>
      <c r="H62" s="284">
        <f>H58+H59+H61</f>
        <v>30270809</v>
      </c>
      <c r="I62" s="284">
        <f>I58+I59</f>
        <v>28002919.410459317</v>
      </c>
      <c r="J62" s="284">
        <f t="shared" ref="J62" si="4">J58+J59</f>
        <v>2245819.5895406804</v>
      </c>
      <c r="K62" s="284">
        <f>K58+K59+K61</f>
        <v>15731949.849093651</v>
      </c>
      <c r="M62" s="146"/>
    </row>
    <row r="63" spans="6:13" x14ac:dyDescent="0.3">
      <c r="G63" s="90" t="s">
        <v>511</v>
      </c>
      <c r="H63" s="284">
        <f>H60</f>
        <v>-639758</v>
      </c>
      <c r="I63" s="284">
        <f>I60</f>
        <v>-684615.92176056618</v>
      </c>
      <c r="J63" s="284">
        <f t="shared" ref="J63" si="5">J60</f>
        <v>44857.921760566132</v>
      </c>
      <c r="K63" s="284">
        <f>K60</f>
        <v>314005.45232396293</v>
      </c>
      <c r="M63" s="146"/>
    </row>
    <row r="64" spans="6:13" x14ac:dyDescent="0.3">
      <c r="G64" s="140" t="s">
        <v>512</v>
      </c>
      <c r="H64" s="141">
        <f>SUM(H58:H61)</f>
        <v>29631051</v>
      </c>
      <c r="I64" s="141">
        <f t="shared" ref="I64:J64" si="6">SUM(I58:I60)</f>
        <v>27318303.488698751</v>
      </c>
      <c r="J64" s="141">
        <f t="shared" si="6"/>
        <v>2290677.5113012465</v>
      </c>
      <c r="K64" s="141">
        <f>SUM(K58:K61)</f>
        <v>16045955.301417613</v>
      </c>
      <c r="L64" s="108">
        <f>SUM(L58:L60)</f>
        <v>16034742.579108726</v>
      </c>
    </row>
    <row r="65" spans="3:31" x14ac:dyDescent="0.3">
      <c r="K65" s="184">
        <f>K64/H64</f>
        <v>0.54152501379102658</v>
      </c>
    </row>
    <row r="67" spans="3:31" x14ac:dyDescent="0.3">
      <c r="G67" s="114" t="s">
        <v>71</v>
      </c>
      <c r="N67" s="208"/>
    </row>
    <row r="68" spans="3:31" x14ac:dyDescent="0.3">
      <c r="G68" s="115"/>
      <c r="H68" s="95" t="s">
        <v>401</v>
      </c>
      <c r="I68" s="95" t="s">
        <v>431</v>
      </c>
      <c r="J68" s="95" t="s">
        <v>480</v>
      </c>
      <c r="K68" s="95" t="s">
        <v>70</v>
      </c>
    </row>
    <row r="69" spans="3:31" x14ac:dyDescent="0.3">
      <c r="G69" s="116" t="s">
        <v>72</v>
      </c>
      <c r="H69" s="111">
        <v>16</v>
      </c>
      <c r="I69" s="111">
        <v>21</v>
      </c>
      <c r="J69" s="111">
        <v>37</v>
      </c>
      <c r="K69" s="123">
        <f>SUM(H69:J69)</f>
        <v>74</v>
      </c>
      <c r="L69" s="202">
        <v>80</v>
      </c>
    </row>
    <row r="70" spans="3:31" x14ac:dyDescent="0.3">
      <c r="G70" s="115" t="s">
        <v>73</v>
      </c>
      <c r="H70" s="110">
        <v>7</v>
      </c>
      <c r="I70" s="110">
        <v>12</v>
      </c>
      <c r="J70" s="110">
        <v>20</v>
      </c>
      <c r="K70" s="123">
        <f>SUM(H70:J70)</f>
        <v>39</v>
      </c>
      <c r="L70" s="202">
        <v>45</v>
      </c>
    </row>
    <row r="71" spans="3:31" x14ac:dyDescent="0.3">
      <c r="G71" s="115" t="s">
        <v>74</v>
      </c>
      <c r="H71" s="122">
        <f>M12</f>
        <v>7620236.7633892233</v>
      </c>
      <c r="I71" s="124">
        <f>M16</f>
        <v>3965632.822213538</v>
      </c>
      <c r="J71" s="122">
        <f>M18</f>
        <v>4460085.7158148512</v>
      </c>
      <c r="K71" s="123">
        <f>SUM(H71:J71)</f>
        <v>16045955.301417612</v>
      </c>
    </row>
    <row r="72" spans="3:31" x14ac:dyDescent="0.3">
      <c r="G72" s="115" t="s">
        <v>75</v>
      </c>
      <c r="H72" s="147">
        <f>1000000*(H69+H70)/H71</f>
        <v>3.0182789215292543</v>
      </c>
      <c r="I72" s="147">
        <f t="shared" ref="I72" si="7">1000000*(I69+I70)/I71</f>
        <v>8.321496588173801</v>
      </c>
      <c r="J72" s="147">
        <f>1000000*(J69+J70)/J71</f>
        <v>12.78002344167643</v>
      </c>
      <c r="K72" s="185">
        <f>1000000*(K69+K70)/K71</f>
        <v>7.0422731384535764</v>
      </c>
    </row>
    <row r="73" spans="3:31" x14ac:dyDescent="0.3">
      <c r="G73" s="115" t="s">
        <v>76</v>
      </c>
      <c r="H73" s="147">
        <f>1000000*H70/H71</f>
        <v>0.91860662829151218</v>
      </c>
      <c r="I73" s="147">
        <f t="shared" ref="I73:K73" si="8">1000000*I70/I71</f>
        <v>3.0259987593359279</v>
      </c>
      <c r="J73" s="147">
        <f t="shared" si="8"/>
        <v>4.4842187514654137</v>
      </c>
      <c r="K73" s="185">
        <f t="shared" si="8"/>
        <v>2.4305190477848626</v>
      </c>
    </row>
    <row r="76" spans="3:31" x14ac:dyDescent="0.3">
      <c r="G76" s="135" t="s">
        <v>77</v>
      </c>
    </row>
    <row r="77" spans="3:31" ht="15" thickBot="1" x14ac:dyDescent="0.35">
      <c r="H77" s="287" t="s">
        <v>78</v>
      </c>
      <c r="I77" s="288"/>
      <c r="J77" s="289"/>
      <c r="K77" s="286" t="s">
        <v>79</v>
      </c>
      <c r="L77" s="286"/>
      <c r="M77" s="286"/>
      <c r="S77" s="298" t="s">
        <v>80</v>
      </c>
      <c r="T77" s="296" t="s">
        <v>81</v>
      </c>
      <c r="U77" s="290" t="s">
        <v>82</v>
      </c>
      <c r="V77" s="295" t="s">
        <v>83</v>
      </c>
      <c r="W77" s="290" t="s">
        <v>84</v>
      </c>
      <c r="Y77" s="148"/>
    </row>
    <row r="78" spans="3:31" ht="15" thickBot="1" x14ac:dyDescent="0.35">
      <c r="G78" s="136" t="s">
        <v>80</v>
      </c>
      <c r="H78" s="125" t="s">
        <v>57</v>
      </c>
      <c r="I78" s="125" t="s">
        <v>59</v>
      </c>
      <c r="J78" s="125" t="s">
        <v>60</v>
      </c>
      <c r="K78" s="125" t="s">
        <v>57</v>
      </c>
      <c r="L78" s="125" t="s">
        <v>59</v>
      </c>
      <c r="M78" s="125" t="s">
        <v>60</v>
      </c>
      <c r="S78" s="299"/>
      <c r="T78" s="297"/>
      <c r="U78" s="291"/>
      <c r="V78" s="295"/>
      <c r="W78" s="291"/>
      <c r="Y78" s="149"/>
      <c r="Z78" s="300" t="s">
        <v>85</v>
      </c>
      <c r="AA78" s="301"/>
      <c r="AB78" s="302"/>
      <c r="AC78" s="300" t="s">
        <v>79</v>
      </c>
      <c r="AD78" s="301"/>
      <c r="AE78" s="302"/>
    </row>
    <row r="79" spans="3:31" s="3" customFormat="1" ht="15" thickBot="1" x14ac:dyDescent="0.35">
      <c r="C79"/>
      <c r="D79"/>
      <c r="G79" s="128" t="s">
        <v>67</v>
      </c>
      <c r="H79" s="8"/>
      <c r="I79" s="8"/>
      <c r="J79" s="8"/>
      <c r="K79" s="8"/>
      <c r="L79" s="8"/>
      <c r="M79" s="8"/>
      <c r="S79" s="128" t="s">
        <v>67</v>
      </c>
      <c r="T79" s="8"/>
      <c r="U79" s="8"/>
      <c r="V79" s="143"/>
      <c r="W79" s="138"/>
      <c r="Y79" s="150" t="s">
        <v>86</v>
      </c>
      <c r="Z79" s="151" t="s">
        <v>57</v>
      </c>
      <c r="AA79" s="151" t="s">
        <v>59</v>
      </c>
      <c r="AB79" s="151" t="s">
        <v>60</v>
      </c>
      <c r="AC79" s="151" t="s">
        <v>57</v>
      </c>
      <c r="AD79" s="151" t="s">
        <v>59</v>
      </c>
      <c r="AE79" s="151" t="s">
        <v>60</v>
      </c>
    </row>
    <row r="80" spans="3:31" s="3" customFormat="1" ht="40.799999999999997" thickBot="1" x14ac:dyDescent="0.35">
      <c r="C80"/>
      <c r="D80"/>
      <c r="G80" s="29" t="s">
        <v>87</v>
      </c>
      <c r="H80" s="137">
        <f>'Pivot ER'!D125</f>
        <v>0.27258998084323838</v>
      </c>
      <c r="I80" s="137">
        <f>'Pivot ER'!E125</f>
        <v>0.1316541262775616</v>
      </c>
      <c r="J80" s="137">
        <f>'Pivot ER'!F125</f>
        <v>0.14853255917846803</v>
      </c>
      <c r="K80" s="126">
        <f>'Pivot ER'!N126</f>
        <v>18120.418976554272</v>
      </c>
      <c r="L80" s="126">
        <f>'Pivot ER'!O126</f>
        <v>8751.7080443009072</v>
      </c>
      <c r="M80" s="126">
        <f>'Pivot ER'!P126</f>
        <v>9873.7018713886646</v>
      </c>
      <c r="S80" s="29" t="s">
        <v>87</v>
      </c>
      <c r="T80" s="38">
        <v>66475</v>
      </c>
      <c r="U80" s="137">
        <f>SUM(H80:J80)</f>
        <v>0.55277666629926792</v>
      </c>
      <c r="V80" s="144">
        <f>SUM(K80:M80)</f>
        <v>36745.828892243844</v>
      </c>
      <c r="W80" s="27">
        <v>372.07921775103398</v>
      </c>
      <c r="X80" s="145"/>
      <c r="Y80" s="303" t="s">
        <v>88</v>
      </c>
      <c r="Z80" s="304"/>
      <c r="AA80" s="304"/>
      <c r="AB80" s="304"/>
      <c r="AC80" s="304"/>
      <c r="AD80" s="304"/>
      <c r="AE80" s="305"/>
    </row>
    <row r="81" spans="3:31" s="3" customFormat="1" ht="54" thickBot="1" x14ac:dyDescent="0.35">
      <c r="C81"/>
      <c r="D81"/>
      <c r="G81" s="29" t="s">
        <v>89</v>
      </c>
      <c r="H81" s="137">
        <f>'Pivot ER'!D126</f>
        <v>0.32079023018655139</v>
      </c>
      <c r="I81" s="137">
        <f>'Pivot ER'!E126</f>
        <v>0.11410285970489654</v>
      </c>
      <c r="J81" s="137">
        <f>'Pivot ER'!F126</f>
        <v>0.13292606745856955</v>
      </c>
      <c r="K81" s="126">
        <f>'Pivot ER'!N127</f>
        <v>8161.8658266364255</v>
      </c>
      <c r="L81" s="126">
        <f>'Pivot ER'!O127</f>
        <v>2903.1190594716827</v>
      </c>
      <c r="M81" s="126">
        <f>'Pivot ER'!P127</f>
        <v>3382.0379343483851</v>
      </c>
      <c r="S81" s="29" t="s">
        <v>89</v>
      </c>
      <c r="T81" s="38">
        <v>25443</v>
      </c>
      <c r="U81" s="137">
        <f>SUM(H81:J81)</f>
        <v>0.56781915735001753</v>
      </c>
      <c r="V81" s="144">
        <f>SUM(K81:M81)</f>
        <v>14447.022820456494</v>
      </c>
      <c r="W81" s="27">
        <v>37.717957787996696</v>
      </c>
      <c r="X81" s="145"/>
      <c r="Y81" s="152" t="s">
        <v>90</v>
      </c>
      <c r="Z81" s="153">
        <f>H80</f>
        <v>0.27258998084323838</v>
      </c>
      <c r="AA81" s="153">
        <f t="shared" ref="AA81:AE81" si="9">I80</f>
        <v>0.1316541262775616</v>
      </c>
      <c r="AB81" s="153">
        <f t="shared" si="9"/>
        <v>0.14853255917846803</v>
      </c>
      <c r="AC81" s="200">
        <f>K80</f>
        <v>18120.418976554272</v>
      </c>
      <c r="AD81" s="200">
        <f t="shared" si="9"/>
        <v>8751.7080443009072</v>
      </c>
      <c r="AE81" s="200">
        <f t="shared" si="9"/>
        <v>9873.7018713886646</v>
      </c>
    </row>
    <row r="82" spans="3:31" s="3" customFormat="1" ht="27.6" thickBot="1" x14ac:dyDescent="0.35">
      <c r="C82"/>
      <c r="D82"/>
      <c r="G82" s="29" t="s">
        <v>91</v>
      </c>
      <c r="H82" s="137">
        <f>'Pivot ER'!D127</f>
        <v>0.32079023018655139</v>
      </c>
      <c r="I82" s="137">
        <f>'Pivot ER'!E127</f>
        <v>0.11410285970489654</v>
      </c>
      <c r="J82" s="137">
        <f>'Pivot ER'!F127</f>
        <v>0.13292606745856955</v>
      </c>
      <c r="K82" s="126">
        <f>'Pivot ER'!N128</f>
        <v>2328.2954906939899</v>
      </c>
      <c r="L82" s="126">
        <f>'Pivot ER'!O128</f>
        <v>828.15855573813906</v>
      </c>
      <c r="M82" s="126">
        <f>'Pivot ER'!P128</f>
        <v>964.77739761429768</v>
      </c>
      <c r="S82" s="29" t="s">
        <v>91</v>
      </c>
      <c r="T82" s="38">
        <v>7258</v>
      </c>
      <c r="U82" s="137">
        <f>SUM(H82:J82)</f>
        <v>0.56781915735001753</v>
      </c>
      <c r="V82" s="144">
        <f t="shared" ref="V82:V91" si="10">SUM(K82:M82)</f>
        <v>4121.231444046427</v>
      </c>
      <c r="W82" s="27">
        <v>509.0132267842381</v>
      </c>
      <c r="X82" s="145"/>
      <c r="Y82" s="152" t="s">
        <v>89</v>
      </c>
      <c r="Z82" s="153">
        <f>H81</f>
        <v>0.32079023018655139</v>
      </c>
      <c r="AA82" s="153">
        <f t="shared" ref="AA82:AA85" si="11">I81</f>
        <v>0.11410285970489654</v>
      </c>
      <c r="AB82" s="153">
        <f t="shared" ref="AB82:AB85" si="12">J81</f>
        <v>0.13292606745856955</v>
      </c>
      <c r="AC82" s="200">
        <f t="shared" ref="AC82:AC85" si="13">K81</f>
        <v>8161.8658266364255</v>
      </c>
      <c r="AD82" s="200">
        <f t="shared" ref="AD82:AD85" si="14">L81</f>
        <v>2903.1190594716827</v>
      </c>
      <c r="AE82" s="200">
        <f t="shared" ref="AE82:AE85" si="15">M81</f>
        <v>3382.0379343483851</v>
      </c>
    </row>
    <row r="83" spans="3:31" s="3" customFormat="1" ht="40.799999999999997" thickBot="1" x14ac:dyDescent="0.35">
      <c r="C83"/>
      <c r="D83"/>
      <c r="G83" s="29" t="s">
        <v>92</v>
      </c>
      <c r="H83" s="137">
        <f>'Pivot ER'!D128</f>
        <v>0.27258998084323838</v>
      </c>
      <c r="I83" s="137">
        <f>'Pivot ER'!E128</f>
        <v>0.1316541262775616</v>
      </c>
      <c r="J83" s="137">
        <f>'Pivot ER'!F128</f>
        <v>0.14853255917846803</v>
      </c>
      <c r="K83" s="126">
        <f>'Pivot ER'!N129</f>
        <v>136.29499042161916</v>
      </c>
      <c r="L83" s="126">
        <f>'Pivot ER'!O129</f>
        <v>65.827063138780787</v>
      </c>
      <c r="M83" s="126">
        <f>'Pivot ER'!P129</f>
        <v>74.266279589234017</v>
      </c>
      <c r="S83" s="29" t="s">
        <v>92</v>
      </c>
      <c r="T83" s="38">
        <v>500</v>
      </c>
      <c r="U83" s="137">
        <f>SUM(H83:J83)</f>
        <v>0.55277666629926792</v>
      </c>
      <c r="V83" s="144">
        <f t="shared" si="10"/>
        <v>276.38833314963392</v>
      </c>
      <c r="W83" s="27">
        <v>50.328000000000003</v>
      </c>
      <c r="X83" s="145"/>
      <c r="Y83" s="152" t="s">
        <v>91</v>
      </c>
      <c r="Z83" s="153">
        <f>H82</f>
        <v>0.32079023018655139</v>
      </c>
      <c r="AA83" s="153">
        <f t="shared" si="11"/>
        <v>0.11410285970489654</v>
      </c>
      <c r="AB83" s="153">
        <f t="shared" si="12"/>
        <v>0.13292606745856955</v>
      </c>
      <c r="AC83" s="200">
        <f t="shared" si="13"/>
        <v>2328.2954906939899</v>
      </c>
      <c r="AD83" s="200">
        <f t="shared" si="14"/>
        <v>828.15855573813906</v>
      </c>
      <c r="AE83" s="200">
        <f t="shared" si="15"/>
        <v>964.77739761429768</v>
      </c>
    </row>
    <row r="84" spans="3:31" s="3" customFormat="1" ht="40.799999999999997" thickBot="1" x14ac:dyDescent="0.35">
      <c r="G84" s="29" t="s">
        <v>93</v>
      </c>
      <c r="H84" s="137">
        <f>'Pivot ER'!D129</f>
        <v>0.2979857376086929</v>
      </c>
      <c r="I84" s="137">
        <f>'Pivot ER'!E129</f>
        <v>0.12358961335223169</v>
      </c>
      <c r="J84" s="137">
        <f>'Pivot ER'!F129</f>
        <v>0.27304847413341743</v>
      </c>
      <c r="K84" s="126">
        <f>'Pivot ER'!N130</f>
        <v>64.066933585868966</v>
      </c>
      <c r="L84" s="126">
        <f>'Pivot ER'!O130</f>
        <v>26.571766870729807</v>
      </c>
      <c r="M84" s="126">
        <f>'Pivot ER'!P130</f>
        <v>58.705421938684772</v>
      </c>
      <c r="S84" s="29" t="s">
        <v>93</v>
      </c>
      <c r="T84" s="38">
        <v>215</v>
      </c>
      <c r="U84" s="137">
        <f>SUM(H84:J84)</f>
        <v>0.69462382509434195</v>
      </c>
      <c r="V84" s="144">
        <f>SUM(K84:M84)</f>
        <v>149.34412239528353</v>
      </c>
      <c r="W84" s="27">
        <v>48.8</v>
      </c>
      <c r="X84" s="145"/>
      <c r="Y84" s="152" t="s">
        <v>92</v>
      </c>
      <c r="Z84" s="153">
        <f>H83</f>
        <v>0.27258998084323838</v>
      </c>
      <c r="AA84" s="153">
        <f t="shared" si="11"/>
        <v>0.1316541262775616</v>
      </c>
      <c r="AB84" s="153">
        <f t="shared" si="12"/>
        <v>0.14853255917846803</v>
      </c>
      <c r="AC84" s="200">
        <f t="shared" si="13"/>
        <v>136.29499042161916</v>
      </c>
      <c r="AD84" s="200">
        <f t="shared" si="14"/>
        <v>65.827063138780787</v>
      </c>
      <c r="AE84" s="200">
        <f t="shared" si="15"/>
        <v>74.266279589234017</v>
      </c>
    </row>
    <row r="85" spans="3:31" s="3" customFormat="1" ht="27.6" thickBot="1" x14ac:dyDescent="0.35">
      <c r="G85" s="129" t="s">
        <v>68</v>
      </c>
      <c r="H85" s="8"/>
      <c r="I85" s="8"/>
      <c r="J85" s="8"/>
      <c r="K85" s="8"/>
      <c r="L85" s="8"/>
      <c r="M85" s="8"/>
      <c r="S85" s="129" t="s">
        <v>68</v>
      </c>
      <c r="T85" s="38"/>
      <c r="U85" s="137"/>
      <c r="V85" s="144">
        <f t="shared" si="10"/>
        <v>0</v>
      </c>
      <c r="W85" s="27"/>
      <c r="X85" s="145"/>
      <c r="Y85" s="152" t="s">
        <v>93</v>
      </c>
      <c r="Z85" s="153">
        <f>H84</f>
        <v>0.2979857376086929</v>
      </c>
      <c r="AA85" s="153">
        <f t="shared" si="11"/>
        <v>0.12358961335223169</v>
      </c>
      <c r="AB85" s="153">
        <f t="shared" si="12"/>
        <v>0.27304847413341743</v>
      </c>
      <c r="AC85" s="200">
        <f t="shared" si="13"/>
        <v>64.066933585868966</v>
      </c>
      <c r="AD85" s="200">
        <f t="shared" si="14"/>
        <v>26.571766870729807</v>
      </c>
      <c r="AE85" s="200">
        <f t="shared" si="15"/>
        <v>58.705421938684772</v>
      </c>
    </row>
    <row r="86" spans="3:31" s="3" customFormat="1" ht="54" thickBot="1" x14ac:dyDescent="0.35">
      <c r="G86" s="29" t="s">
        <v>94</v>
      </c>
      <c r="H86" s="137">
        <f>'Pivot ER'!D130</f>
        <v>0.24801250289948726</v>
      </c>
      <c r="I86" s="137">
        <f>'Pivot ER'!E130</f>
        <v>0.15122835101641174</v>
      </c>
      <c r="J86" s="137">
        <f>'Pivot ER'!F130</f>
        <v>0.14302182769522542</v>
      </c>
      <c r="K86" s="126">
        <f>'Pivot ER'!N131</f>
        <v>974.19311138918579</v>
      </c>
      <c r="L86" s="126">
        <f>'Pivot ER'!O131</f>
        <v>594.02496279246532</v>
      </c>
      <c r="M86" s="126">
        <f>'Pivot ER'!P131</f>
        <v>561.7897391868454</v>
      </c>
      <c r="S86" s="29" t="s">
        <v>94</v>
      </c>
      <c r="T86" s="38">
        <v>3928</v>
      </c>
      <c r="U86" s="137">
        <f>SUM(H86:J86)</f>
        <v>0.54226268161112445</v>
      </c>
      <c r="V86" s="144">
        <f t="shared" si="10"/>
        <v>2130.0078133684965</v>
      </c>
      <c r="W86" s="27">
        <v>207.89205702647658</v>
      </c>
      <c r="X86" s="145"/>
      <c r="Y86" s="306" t="s">
        <v>95</v>
      </c>
      <c r="Z86" s="307"/>
      <c r="AA86" s="307"/>
      <c r="AB86" s="307"/>
      <c r="AC86" s="307"/>
      <c r="AD86" s="307"/>
      <c r="AE86" s="308"/>
    </row>
    <row r="87" spans="3:31" s="3" customFormat="1" ht="67.2" thickBot="1" x14ac:dyDescent="0.35">
      <c r="G87" s="29" t="s">
        <v>96</v>
      </c>
      <c r="H87" s="137">
        <f>'Pivot ER'!D131</f>
        <v>0</v>
      </c>
      <c r="I87" s="137">
        <f>'Pivot ER'!E131</f>
        <v>0</v>
      </c>
      <c r="J87" s="137">
        <f>'Pivot ER'!F131</f>
        <v>0</v>
      </c>
      <c r="K87" s="126">
        <f>'Pivot ER'!N132</f>
        <v>0</v>
      </c>
      <c r="L87" s="126">
        <f>'Pivot ER'!O132</f>
        <v>0</v>
      </c>
      <c r="M87" s="126">
        <f>'Pivot ER'!P132</f>
        <v>0</v>
      </c>
      <c r="S87" s="29" t="s">
        <v>96</v>
      </c>
      <c r="T87" s="38">
        <v>508</v>
      </c>
      <c r="U87" s="137">
        <f t="shared" ref="U87:U91" si="16">SUM(H87:J87)</f>
        <v>0</v>
      </c>
      <c r="V87" s="144">
        <f t="shared" si="10"/>
        <v>0</v>
      </c>
      <c r="W87" s="27">
        <v>16.208661417322833</v>
      </c>
      <c r="X87" s="145"/>
      <c r="Y87" s="152" t="s">
        <v>94</v>
      </c>
      <c r="Z87" s="153">
        <f>H86</f>
        <v>0.24801250289948726</v>
      </c>
      <c r="AA87" s="153">
        <f t="shared" ref="AA87" si="17">I86</f>
        <v>0.15122835101641174</v>
      </c>
      <c r="AB87" s="153">
        <f t="shared" ref="AB87" si="18">J86</f>
        <v>0.14302182769522542</v>
      </c>
      <c r="AC87" s="200">
        <f t="shared" ref="AC87" si="19">K86</f>
        <v>974.19311138918579</v>
      </c>
      <c r="AD87" s="200">
        <f t="shared" ref="AD87" si="20">L86</f>
        <v>594.02496279246532</v>
      </c>
      <c r="AE87" s="200">
        <f t="shared" ref="AE87" si="21">M86</f>
        <v>561.7897391868454</v>
      </c>
    </row>
    <row r="88" spans="3:31" s="3" customFormat="1" ht="54" thickBot="1" x14ac:dyDescent="0.35">
      <c r="G88" s="29" t="s">
        <v>97</v>
      </c>
      <c r="H88" s="137">
        <f>'Pivot ER'!D132</f>
        <v>0.24801250289948726</v>
      </c>
      <c r="I88" s="137">
        <f>'Pivot ER'!E132</f>
        <v>0.15122835101641174</v>
      </c>
      <c r="J88" s="137">
        <f>'Pivot ER'!F132</f>
        <v>0.14302182769522542</v>
      </c>
      <c r="K88" s="126">
        <f>'Pivot ER'!N133</f>
        <v>1.2400625144974358</v>
      </c>
      <c r="L88" s="126">
        <f>'Pivot ER'!O133</f>
        <v>0.75614175508205883</v>
      </c>
      <c r="M88" s="126">
        <f>'Pivot ER'!P133</f>
        <v>0.71510913847612712</v>
      </c>
      <c r="S88" s="29" t="s">
        <v>97</v>
      </c>
      <c r="T88" s="38">
        <v>5</v>
      </c>
      <c r="U88" s="137">
        <f t="shared" si="16"/>
        <v>0.54226268161112445</v>
      </c>
      <c r="V88" s="144">
        <f>SUM(K88:M88)</f>
        <v>2.7113134080556218</v>
      </c>
      <c r="W88" s="27">
        <v>41.4</v>
      </c>
      <c r="X88" s="145"/>
      <c r="Y88" s="152" t="s">
        <v>96</v>
      </c>
      <c r="Z88" s="153">
        <f>H87</f>
        <v>0</v>
      </c>
      <c r="AA88" s="153">
        <f t="shared" ref="AA88:AA89" si="22">I87</f>
        <v>0</v>
      </c>
      <c r="AB88" s="153">
        <f t="shared" ref="AB88:AB89" si="23">J87</f>
        <v>0</v>
      </c>
      <c r="AC88" s="200">
        <f t="shared" ref="AC88:AC89" si="24">K87</f>
        <v>0</v>
      </c>
      <c r="AD88" s="200">
        <f t="shared" ref="AD88:AD89" si="25">L87</f>
        <v>0</v>
      </c>
      <c r="AE88" s="200">
        <f t="shared" ref="AE88:AE89" si="26">M87</f>
        <v>0</v>
      </c>
    </row>
    <row r="89" spans="3:31" s="3" customFormat="1" ht="40.799999999999997" thickBot="1" x14ac:dyDescent="0.35">
      <c r="G89" s="129" t="s">
        <v>69</v>
      </c>
      <c r="H89" s="8"/>
      <c r="I89" s="8"/>
      <c r="J89" s="8"/>
      <c r="K89" s="8"/>
      <c r="L89" s="8"/>
      <c r="M89" s="8"/>
      <c r="S89" s="129" t="s">
        <v>69</v>
      </c>
      <c r="T89" s="38"/>
      <c r="U89" s="137"/>
      <c r="V89" s="144">
        <f t="shared" si="10"/>
        <v>0</v>
      </c>
      <c r="W89" s="27"/>
      <c r="X89" s="145"/>
      <c r="Y89" s="152" t="s">
        <v>97</v>
      </c>
      <c r="Z89" s="153">
        <f>H88</f>
        <v>0.24801250289948726</v>
      </c>
      <c r="AA89" s="153">
        <f t="shared" si="22"/>
        <v>0.15122835101641174</v>
      </c>
      <c r="AB89" s="153">
        <f t="shared" si="23"/>
        <v>0.14302182769522542</v>
      </c>
      <c r="AC89" s="200">
        <f t="shared" si="24"/>
        <v>1.2400625144974358</v>
      </c>
      <c r="AD89" s="200">
        <f t="shared" si="25"/>
        <v>0.75614175508205883</v>
      </c>
      <c r="AE89" s="200">
        <f t="shared" si="26"/>
        <v>0.71510913847612712</v>
      </c>
    </row>
    <row r="90" spans="3:31" s="3" customFormat="1" ht="54" thickBot="1" x14ac:dyDescent="0.35">
      <c r="G90" s="29" t="s">
        <v>98</v>
      </c>
      <c r="H90" s="137">
        <f>'Pivot ER'!D133</f>
        <v>0.38249436801375497</v>
      </c>
      <c r="I90" s="137">
        <f>'Pivot ER'!E133</f>
        <v>7.5634321343892211E-2</v>
      </c>
      <c r="J90" s="137">
        <f>'Pivot ER'!F133</f>
        <v>6.7690420874601434E-2</v>
      </c>
      <c r="K90" s="126">
        <f>'Pivot ER'!N134</f>
        <v>683.13494127256627</v>
      </c>
      <c r="L90" s="126">
        <f>'Pivot ER'!O134</f>
        <v>135.0828979201915</v>
      </c>
      <c r="M90" s="126">
        <f>'Pivot ER'!P134</f>
        <v>120.89509168203817</v>
      </c>
      <c r="S90" s="29" t="s">
        <v>98</v>
      </c>
      <c r="T90" s="38">
        <v>1786</v>
      </c>
      <c r="U90" s="137">
        <f t="shared" si="16"/>
        <v>0.52581911023224859</v>
      </c>
      <c r="V90" s="144">
        <f>SUM(K90:M90)</f>
        <v>939.11293087479589</v>
      </c>
      <c r="W90" s="27">
        <v>-358.20716685330348</v>
      </c>
      <c r="X90" s="145"/>
      <c r="Y90" s="306" t="s">
        <v>99</v>
      </c>
      <c r="Z90" s="307"/>
      <c r="AA90" s="307"/>
      <c r="AB90" s="307"/>
      <c r="AC90" s="307"/>
      <c r="AD90" s="307"/>
      <c r="AE90" s="308"/>
    </row>
    <row r="91" spans="3:31" s="3" customFormat="1" ht="54" thickBot="1" x14ac:dyDescent="0.35">
      <c r="G91" s="29" t="s">
        <v>100</v>
      </c>
      <c r="H91" s="137">
        <f>'Pivot ER'!D134</f>
        <v>0.4230579040197251</v>
      </c>
      <c r="I91" s="137">
        <f>'Pivot ER'!E134</f>
        <v>7.8798083405934916E-2</v>
      </c>
      <c r="J91" s="137">
        <f>'Pivot ER'!F134</f>
        <v>4.1196677227137574E-2</v>
      </c>
      <c r="K91" s="126">
        <f>'Pivot ER'!N135</f>
        <v>223.37457332241485</v>
      </c>
      <c r="L91" s="126">
        <f>'Pivot ER'!O135</f>
        <v>41.605388038333636</v>
      </c>
      <c r="M91" s="126">
        <f>'Pivot ER'!P135</f>
        <v>21.751845575928648</v>
      </c>
      <c r="S91" s="29" t="s">
        <v>100</v>
      </c>
      <c r="T91" s="38">
        <v>528</v>
      </c>
      <c r="U91" s="137">
        <f t="shared" si="16"/>
        <v>0.54305266465279767</v>
      </c>
      <c r="V91" s="144">
        <f t="shared" si="10"/>
        <v>286.73180693667712</v>
      </c>
      <c r="W91" s="27">
        <v>41.799242424242422</v>
      </c>
      <c r="X91" s="145"/>
      <c r="Y91" s="152" t="s">
        <v>98</v>
      </c>
      <c r="Z91" s="153">
        <f>H90</f>
        <v>0.38249436801375497</v>
      </c>
      <c r="AA91" s="153">
        <f t="shared" ref="AA91" si="27">I90</f>
        <v>7.5634321343892211E-2</v>
      </c>
      <c r="AB91" s="153">
        <f t="shared" ref="AB91" si="28">J90</f>
        <v>6.7690420874601434E-2</v>
      </c>
      <c r="AC91" s="186">
        <f t="shared" ref="AC91" si="29">K90</f>
        <v>683.13494127256627</v>
      </c>
      <c r="AD91" s="186">
        <f t="shared" ref="AD91" si="30">L90</f>
        <v>135.0828979201915</v>
      </c>
      <c r="AE91" s="186">
        <f t="shared" ref="AE91" si="31">M90</f>
        <v>120.89509168203817</v>
      </c>
    </row>
    <row r="92" spans="3:31" s="3" customFormat="1" ht="24.6" thickBot="1" x14ac:dyDescent="0.35">
      <c r="G92" s="16"/>
      <c r="H92" s="156">
        <f>AVERAGE(H80:H91)</f>
        <v>0.27863234375007273</v>
      </c>
      <c r="I92" s="156">
        <f>AVERAGE(I80:I91)</f>
        <v>0.10719926920997987</v>
      </c>
      <c r="J92" s="156">
        <f>AVERAGE(J80:J91)</f>
        <v>0.12308964808996822</v>
      </c>
      <c r="K92" s="142">
        <f t="shared" ref="K92:L92" si="32">SUM(K80:K91)</f>
        <v>30692.884906390835</v>
      </c>
      <c r="L92" s="142">
        <f t="shared" si="32"/>
        <v>13346.853880026312</v>
      </c>
      <c r="M92" s="142">
        <f>SUM(M80:M91)</f>
        <v>15058.640690462555</v>
      </c>
      <c r="N92" s="120"/>
      <c r="O92" s="120"/>
      <c r="P92" s="120"/>
      <c r="Q92" s="120"/>
      <c r="R92" s="142">
        <f>SUM(W80:W91)</f>
        <v>967.03119633800713</v>
      </c>
      <c r="T92" s="119">
        <f>SUM(T80:T91)</f>
        <v>106646</v>
      </c>
      <c r="U92" s="155">
        <f>AVERAGE(U80:U91)</f>
        <v>0.50892126105002089</v>
      </c>
      <c r="V92" s="119">
        <f>SUM(V80:V91)</f>
        <v>59098.379476879702</v>
      </c>
      <c r="W92" s="199">
        <f>AVERAGE(W80:W91)</f>
        <v>96.703119633800711</v>
      </c>
      <c r="Y92" s="152" t="s">
        <v>100</v>
      </c>
      <c r="Z92" s="153">
        <f>H91</f>
        <v>0.4230579040197251</v>
      </c>
      <c r="AA92" s="153">
        <f t="shared" ref="AA92" si="33">I91</f>
        <v>7.8798083405934916E-2</v>
      </c>
      <c r="AB92" s="153">
        <f t="shared" ref="AB92" si="34">J91</f>
        <v>4.1196677227137574E-2</v>
      </c>
      <c r="AC92" s="186">
        <f t="shared" ref="AC92" si="35">K91</f>
        <v>223.37457332241485</v>
      </c>
      <c r="AD92" s="186">
        <f t="shared" ref="AD92" si="36">L91</f>
        <v>41.605388038333636</v>
      </c>
      <c r="AE92" s="186">
        <f t="shared" ref="AE92" si="37">M91</f>
        <v>21.751845575928648</v>
      </c>
    </row>
    <row r="93" spans="3:31" s="3" customFormat="1" x14ac:dyDescent="0.3">
      <c r="G93" s="3" t="s">
        <v>101</v>
      </c>
      <c r="K93" s="109"/>
      <c r="L93" s="109"/>
      <c r="M93" s="109"/>
      <c r="N93" s="109"/>
      <c r="O93" s="109"/>
      <c r="P93" s="109"/>
      <c r="Q93" s="109"/>
      <c r="R93" s="120"/>
      <c r="Y93" s="154"/>
      <c r="Z93"/>
      <c r="AA93"/>
      <c r="AB93"/>
      <c r="AC93"/>
      <c r="AD93"/>
      <c r="AE93"/>
    </row>
    <row r="94" spans="3:31" s="3" customFormat="1" x14ac:dyDescent="0.3">
      <c r="K94" s="109"/>
      <c r="L94" s="109"/>
      <c r="M94" s="109"/>
      <c r="N94" s="109"/>
      <c r="O94" s="109"/>
      <c r="P94" s="109"/>
      <c r="Q94" s="109"/>
      <c r="R94" s="120"/>
    </row>
    <row r="95" spans="3:31" s="3" customFormat="1" x14ac:dyDescent="0.3">
      <c r="K95" s="109"/>
      <c r="L95" s="109"/>
      <c r="M95" s="109"/>
      <c r="N95" s="109"/>
      <c r="O95" s="109"/>
      <c r="P95" s="109"/>
      <c r="Q95" s="109"/>
      <c r="R95" s="120"/>
    </row>
    <row r="96" spans="3:31" s="3" customFormat="1" x14ac:dyDescent="0.3">
      <c r="G96" t="s">
        <v>102</v>
      </c>
      <c r="K96" s="109"/>
      <c r="L96" s="109"/>
      <c r="M96" s="109"/>
      <c r="N96" s="109"/>
      <c r="O96" s="109"/>
      <c r="P96" s="109"/>
      <c r="Q96" s="109"/>
      <c r="R96" s="120"/>
    </row>
    <row r="97" spans="7:22" s="3" customFormat="1" x14ac:dyDescent="0.3">
      <c r="G97" s="42"/>
      <c r="H97" s="42"/>
      <c r="I97" s="292" t="s">
        <v>103</v>
      </c>
      <c r="J97" s="293"/>
      <c r="K97" s="293"/>
      <c r="L97" s="293"/>
      <c r="M97" s="293"/>
      <c r="N97" s="293"/>
      <c r="O97" s="293"/>
      <c r="P97" s="293"/>
      <c r="Q97" s="293"/>
      <c r="R97" s="293"/>
      <c r="S97" s="293"/>
      <c r="T97" s="293"/>
      <c r="U97" s="293"/>
      <c r="V97" s="294"/>
    </row>
    <row r="98" spans="7:22" s="3" customFormat="1" ht="26.4" x14ac:dyDescent="0.3">
      <c r="G98" s="5" t="s">
        <v>104</v>
      </c>
      <c r="H98" s="5" t="s">
        <v>105</v>
      </c>
      <c r="I98" s="4" t="s">
        <v>106</v>
      </c>
      <c r="J98" s="4" t="s">
        <v>107</v>
      </c>
      <c r="K98" s="4" t="s">
        <v>108</v>
      </c>
      <c r="L98" s="4" t="s">
        <v>109</v>
      </c>
      <c r="M98" s="4" t="s">
        <v>110</v>
      </c>
      <c r="N98" s="4" t="s">
        <v>111</v>
      </c>
      <c r="O98" s="4"/>
      <c r="P98" s="4"/>
      <c r="Q98" s="4"/>
      <c r="R98" s="4" t="s">
        <v>112</v>
      </c>
      <c r="S98" s="4" t="s">
        <v>113</v>
      </c>
      <c r="T98" s="4" t="s">
        <v>114</v>
      </c>
      <c r="U98" s="4" t="s">
        <v>115</v>
      </c>
      <c r="V98" s="4" t="s">
        <v>116</v>
      </c>
    </row>
    <row r="99" spans="7:22" s="3" customFormat="1" x14ac:dyDescent="0.3">
      <c r="G99" s="132" t="s">
        <v>67</v>
      </c>
      <c r="H99" s="5"/>
      <c r="I99" s="4"/>
      <c r="J99" s="4"/>
      <c r="K99" s="4"/>
      <c r="L99" s="4"/>
      <c r="M99" s="4"/>
      <c r="N99" s="4"/>
      <c r="O99" s="4"/>
      <c r="P99" s="4"/>
      <c r="Q99" s="4"/>
      <c r="R99" s="4"/>
      <c r="S99" s="4"/>
      <c r="T99" s="4"/>
      <c r="U99" s="4"/>
      <c r="V99" s="4"/>
    </row>
    <row r="100" spans="7:22" s="3" customFormat="1" x14ac:dyDescent="0.3">
      <c r="G100" s="1" t="s">
        <v>87</v>
      </c>
      <c r="H100" s="1" t="s">
        <v>117</v>
      </c>
      <c r="I100" s="133">
        <v>5521895.4306707447</v>
      </c>
      <c r="J100" s="133">
        <v>4512952.3470719717</v>
      </c>
      <c r="K100" s="133">
        <v>3136201.4776554452</v>
      </c>
      <c r="L100" s="133">
        <v>1418919.6682862227</v>
      </c>
      <c r="M100" s="133">
        <v>934909.0034759196</v>
      </c>
      <c r="N100" s="133">
        <v>441841.86594060715</v>
      </c>
      <c r="O100" s="133"/>
      <c r="P100" s="133"/>
      <c r="Q100" s="133"/>
      <c r="R100" s="133">
        <v>3841633.6190098855</v>
      </c>
      <c r="S100" s="133">
        <v>2728758.3687879751</v>
      </c>
      <c r="T100" s="133">
        <v>340537.55692760297</v>
      </c>
      <c r="U100" s="133">
        <v>227937.04609725042</v>
      </c>
      <c r="V100" s="133">
        <v>909019.69851207046</v>
      </c>
    </row>
    <row r="101" spans="7:22" s="3" customFormat="1" ht="26.4" x14ac:dyDescent="0.3">
      <c r="G101" s="1" t="s">
        <v>89</v>
      </c>
      <c r="H101" s="1" t="s">
        <v>118</v>
      </c>
      <c r="I101" s="134">
        <v>771598.31285574764</v>
      </c>
      <c r="J101" s="134">
        <v>604180.51494538214</v>
      </c>
      <c r="K101" s="134">
        <v>411987.54683669296</v>
      </c>
      <c r="L101" s="134">
        <v>221129.25805782125</v>
      </c>
      <c r="M101" s="134">
        <v>11333.342667546605</v>
      </c>
      <c r="N101" s="134">
        <v>180859.62544114259</v>
      </c>
      <c r="O101" s="134"/>
      <c r="P101" s="134"/>
      <c r="Q101" s="134"/>
      <c r="R101" s="134">
        <v>425883.81663184834</v>
      </c>
      <c r="S101" s="134">
        <v>338461.39979298762</v>
      </c>
      <c r="T101" s="134">
        <v>66252.598439551031</v>
      </c>
      <c r="U101" s="134">
        <v>37850.747921696384</v>
      </c>
      <c r="V101" s="134">
        <v>7301.166109060051</v>
      </c>
    </row>
    <row r="102" spans="7:22" s="3" customFormat="1" x14ac:dyDescent="0.3">
      <c r="G102" s="1" t="s">
        <v>91</v>
      </c>
      <c r="H102" s="1" t="s">
        <v>118</v>
      </c>
      <c r="I102" s="134">
        <v>771598.31285574764</v>
      </c>
      <c r="J102" s="134">
        <v>604180.51494538214</v>
      </c>
      <c r="K102" s="134">
        <v>411987.54683669296</v>
      </c>
      <c r="L102" s="134">
        <v>221129.25805782125</v>
      </c>
      <c r="M102" s="134">
        <v>11333.342667546605</v>
      </c>
      <c r="N102" s="134">
        <v>180859.62544114259</v>
      </c>
      <c r="O102" s="134"/>
      <c r="P102" s="134"/>
      <c r="Q102" s="134"/>
      <c r="R102" s="134">
        <v>425883.81663184834</v>
      </c>
      <c r="S102" s="134">
        <v>338461.39979298762</v>
      </c>
      <c r="T102" s="134">
        <v>66252.598439551031</v>
      </c>
      <c r="U102" s="134">
        <v>37850.747921696384</v>
      </c>
      <c r="V102" s="134">
        <v>7301.166109060051</v>
      </c>
    </row>
    <row r="103" spans="7:22" s="3" customFormat="1" x14ac:dyDescent="0.3">
      <c r="G103" s="1" t="s">
        <v>92</v>
      </c>
      <c r="H103" s="1" t="s">
        <v>117</v>
      </c>
      <c r="I103" s="134">
        <v>5521895.4306707447</v>
      </c>
      <c r="J103" s="134">
        <v>4512952.3470719717</v>
      </c>
      <c r="K103" s="134">
        <v>3136201.4776554452</v>
      </c>
      <c r="L103" s="134">
        <v>1418919.6682862227</v>
      </c>
      <c r="M103" s="134">
        <v>934909.0034759196</v>
      </c>
      <c r="N103" s="134">
        <v>441841.86594060715</v>
      </c>
      <c r="O103" s="134"/>
      <c r="P103" s="134"/>
      <c r="Q103" s="134"/>
      <c r="R103" s="134">
        <v>3841633.6190098855</v>
      </c>
      <c r="S103" s="134">
        <v>2728758.3687879751</v>
      </c>
      <c r="T103" s="134">
        <v>340537.55692760297</v>
      </c>
      <c r="U103" s="134">
        <v>227937.04609725042</v>
      </c>
      <c r="V103" s="134">
        <v>909019.69851207046</v>
      </c>
    </row>
    <row r="104" spans="7:22" s="3" customFormat="1" x14ac:dyDescent="0.3">
      <c r="G104" s="1" t="s">
        <v>93</v>
      </c>
      <c r="H104" s="1" t="s">
        <v>119</v>
      </c>
      <c r="I104" s="134">
        <v>116396.26479939079</v>
      </c>
      <c r="J104" s="134">
        <v>91598.239560756963</v>
      </c>
      <c r="K104" s="134">
        <v>79583.434582006783</v>
      </c>
      <c r="L104" s="134">
        <v>29254.93960226496</v>
      </c>
      <c r="M104" s="134">
        <v>0</v>
      </c>
      <c r="N104" s="134">
        <v>12014.80497875018</v>
      </c>
      <c r="O104" s="134"/>
      <c r="P104" s="134"/>
      <c r="Q104" s="134"/>
      <c r="R104" s="134">
        <v>74449.186203798294</v>
      </c>
      <c r="S104" s="134">
        <v>68746.732275403454</v>
      </c>
      <c r="T104" s="134">
        <v>5439.2598501266448</v>
      </c>
      <c r="U104" s="134">
        <v>35120.833438447691</v>
      </c>
      <c r="V104" s="134">
        <v>0</v>
      </c>
    </row>
    <row r="105" spans="7:22" s="3" customFormat="1" x14ac:dyDescent="0.3">
      <c r="G105" s="1" t="s">
        <v>68</v>
      </c>
      <c r="H105" s="1"/>
      <c r="I105" s="134"/>
      <c r="J105" s="134"/>
      <c r="K105" s="134"/>
      <c r="L105" s="134"/>
      <c r="M105" s="134"/>
      <c r="N105" s="134"/>
      <c r="O105" s="134"/>
      <c r="P105" s="134"/>
      <c r="Q105" s="134"/>
      <c r="R105" s="134"/>
      <c r="S105" s="134"/>
      <c r="T105" s="134"/>
      <c r="U105" s="134"/>
      <c r="V105" s="134"/>
    </row>
    <row r="106" spans="7:22" s="3" customFormat="1" x14ac:dyDescent="0.3">
      <c r="G106" s="131" t="s">
        <v>94</v>
      </c>
      <c r="H106" s="1" t="s">
        <v>120</v>
      </c>
      <c r="I106" s="133">
        <v>2208933.3853033721</v>
      </c>
      <c r="J106" s="133">
        <v>1899830.0733844887</v>
      </c>
      <c r="K106" s="133">
        <v>1027014.2931312862</v>
      </c>
      <c r="L106" s="133">
        <v>173888.86389578076</v>
      </c>
      <c r="M106" s="133">
        <v>856505.5391423296</v>
      </c>
      <c r="N106" s="133">
        <v>16310.241110872943</v>
      </c>
      <c r="O106" s="133"/>
      <c r="P106" s="133"/>
      <c r="Q106" s="133"/>
      <c r="R106" s="133">
        <v>1884027.2733396452</v>
      </c>
      <c r="S106" s="133">
        <v>1014268.8775385468</v>
      </c>
      <c r="T106" s="133">
        <v>1175.4542276620489</v>
      </c>
      <c r="U106" s="133">
        <v>23136.635470837446</v>
      </c>
      <c r="V106" s="133">
        <v>854449.35573962599</v>
      </c>
    </row>
    <row r="107" spans="7:22" s="3" customFormat="1" ht="26.4" x14ac:dyDescent="0.3">
      <c r="G107" s="1" t="s">
        <v>96</v>
      </c>
      <c r="H107" s="1" t="s">
        <v>121</v>
      </c>
      <c r="I107" s="130">
        <v>0</v>
      </c>
      <c r="J107" s="130">
        <v>0</v>
      </c>
      <c r="K107" s="130">
        <v>0</v>
      </c>
      <c r="L107" s="130">
        <v>0</v>
      </c>
      <c r="M107" s="130">
        <v>0</v>
      </c>
      <c r="N107" s="130">
        <v>0</v>
      </c>
      <c r="O107" s="130"/>
      <c r="P107" s="130"/>
      <c r="Q107" s="130"/>
      <c r="R107" s="130">
        <v>0</v>
      </c>
      <c r="S107" s="130">
        <v>0</v>
      </c>
      <c r="T107" s="130">
        <v>0</v>
      </c>
      <c r="U107" s="130">
        <v>0</v>
      </c>
      <c r="V107" s="130">
        <v>0</v>
      </c>
    </row>
    <row r="108" spans="7:22" s="3" customFormat="1" ht="26.4" x14ac:dyDescent="0.3">
      <c r="G108" s="1" t="s">
        <v>97</v>
      </c>
      <c r="H108" s="1" t="s">
        <v>120</v>
      </c>
      <c r="I108" s="134">
        <v>2208933.3853033721</v>
      </c>
      <c r="J108" s="134">
        <v>1899830.0733844887</v>
      </c>
      <c r="K108" s="134">
        <v>1027014.2931312862</v>
      </c>
      <c r="L108" s="134">
        <v>173888.86389578076</v>
      </c>
      <c r="M108" s="134">
        <v>856505.5391423296</v>
      </c>
      <c r="N108" s="134">
        <v>16310.241110872943</v>
      </c>
      <c r="O108" s="134"/>
      <c r="P108" s="134"/>
      <c r="Q108" s="134"/>
      <c r="R108" s="134">
        <v>1884027.2733396452</v>
      </c>
      <c r="S108" s="134">
        <v>1014268.8775385468</v>
      </c>
      <c r="T108" s="134">
        <v>1175.4542276620489</v>
      </c>
      <c r="U108" s="134">
        <v>23136.635470837446</v>
      </c>
      <c r="V108" s="134">
        <v>854449.35573962599</v>
      </c>
    </row>
    <row r="109" spans="7:22" s="3" customFormat="1" x14ac:dyDescent="0.3">
      <c r="G109" s="131" t="s">
        <v>69</v>
      </c>
      <c r="H109" s="1"/>
      <c r="I109" s="134"/>
      <c r="J109" s="134"/>
      <c r="K109" s="134"/>
      <c r="L109" s="134"/>
      <c r="M109" s="134"/>
      <c r="N109" s="134"/>
      <c r="O109" s="134"/>
      <c r="P109" s="134"/>
      <c r="Q109" s="134"/>
      <c r="R109" s="134"/>
      <c r="S109" s="134"/>
      <c r="T109" s="134"/>
      <c r="U109" s="134"/>
      <c r="V109" s="134"/>
    </row>
    <row r="110" spans="7:22" s="3" customFormat="1" ht="26.4" x14ac:dyDescent="0.3">
      <c r="G110" s="1" t="s">
        <v>98</v>
      </c>
      <c r="H110" s="1" t="s">
        <v>122</v>
      </c>
      <c r="I110" s="133">
        <v>918132.60040928319</v>
      </c>
      <c r="J110" s="133">
        <v>709261.81418783788</v>
      </c>
      <c r="K110" s="133">
        <v>304548.11321313446</v>
      </c>
      <c r="L110" s="133">
        <v>190013.66855473511</v>
      </c>
      <c r="M110" s="133"/>
      <c r="N110" s="133">
        <v>404713.70097470342</v>
      </c>
      <c r="O110" s="133"/>
      <c r="P110" s="133"/>
      <c r="Q110" s="133"/>
      <c r="R110" s="133">
        <v>176986.02579812385</v>
      </c>
      <c r="S110" s="133">
        <v>109002.37264342526</v>
      </c>
      <c r="T110" s="133">
        <v>51839.361785545378</v>
      </c>
      <c r="U110" s="133">
        <v>18655.176436269474</v>
      </c>
      <c r="V110" s="133">
        <v>9274.7785862703749</v>
      </c>
    </row>
    <row r="111" spans="7:22" s="3" customFormat="1" ht="26.4" x14ac:dyDescent="0.3">
      <c r="G111" s="1" t="s">
        <v>100</v>
      </c>
      <c r="H111" s="1" t="s">
        <v>123</v>
      </c>
      <c r="I111" s="134">
        <v>776716.74089079746</v>
      </c>
      <c r="J111" s="134">
        <v>583118.00610752124</v>
      </c>
      <c r="K111" s="134">
        <v>130273.27653743853</v>
      </c>
      <c r="L111" s="134">
        <v>96077.938766733554</v>
      </c>
      <c r="M111" s="134">
        <v>7762.5900737617685</v>
      </c>
      <c r="N111" s="134">
        <v>445082.13949632098</v>
      </c>
      <c r="O111" s="134"/>
      <c r="P111" s="134"/>
      <c r="Q111" s="134"/>
      <c r="R111" s="134">
        <v>184669.90119201862</v>
      </c>
      <c r="S111" s="134">
        <v>88983.21990234447</v>
      </c>
      <c r="T111" s="134">
        <v>84888.819352019476</v>
      </c>
      <c r="U111" s="134">
        <v>12955.855852819732</v>
      </c>
      <c r="V111" s="134">
        <v>1428.1903505704404</v>
      </c>
    </row>
    <row r="112" spans="7:22" s="3" customFormat="1" x14ac:dyDescent="0.3">
      <c r="K112" s="109"/>
      <c r="L112" s="109"/>
      <c r="M112" s="109"/>
      <c r="N112" s="109"/>
      <c r="O112" s="109"/>
      <c r="P112" s="109"/>
      <c r="Q112" s="109"/>
      <c r="R112" s="120"/>
    </row>
    <row r="113" spans="3:18" s="3" customFormat="1" x14ac:dyDescent="0.3">
      <c r="K113" s="109"/>
      <c r="L113" s="109"/>
      <c r="M113" s="109"/>
      <c r="N113" s="109"/>
      <c r="O113" s="109"/>
      <c r="P113" s="109"/>
      <c r="Q113" s="109"/>
      <c r="R113" s="120"/>
    </row>
    <row r="114" spans="3:18" s="3" customFormat="1" x14ac:dyDescent="0.3">
      <c r="K114" s="109"/>
      <c r="L114" s="109"/>
      <c r="M114" s="109"/>
      <c r="N114" s="109"/>
      <c r="O114" s="109"/>
      <c r="P114" s="109"/>
      <c r="Q114" s="109"/>
      <c r="R114" s="120"/>
    </row>
    <row r="115" spans="3:18" x14ac:dyDescent="0.3">
      <c r="C115" s="3"/>
      <c r="D115" s="3"/>
    </row>
    <row r="116" spans="3:18" x14ac:dyDescent="0.3">
      <c r="C116" s="3"/>
      <c r="D116" s="3"/>
    </row>
    <row r="117" spans="3:18" x14ac:dyDescent="0.3">
      <c r="C117" s="3"/>
      <c r="D117" s="3"/>
    </row>
    <row r="118" spans="3:18" x14ac:dyDescent="0.3">
      <c r="C118" s="3"/>
      <c r="D118" s="3"/>
    </row>
    <row r="119" spans="3:18" x14ac:dyDescent="0.3">
      <c r="C119" s="3"/>
      <c r="D119" s="3"/>
    </row>
    <row r="126" spans="3:18" x14ac:dyDescent="0.3">
      <c r="G126"/>
      <c r="H126"/>
      <c r="I126"/>
      <c r="J126"/>
    </row>
    <row r="127" spans="3:18" x14ac:dyDescent="0.3">
      <c r="G127"/>
      <c r="H127"/>
      <c r="I127"/>
      <c r="J127"/>
    </row>
    <row r="128" spans="3:18" x14ac:dyDescent="0.3">
      <c r="G128"/>
      <c r="H128"/>
      <c r="I128"/>
      <c r="J128"/>
    </row>
    <row r="129" spans="7:10" x14ac:dyDescent="0.3">
      <c r="G129"/>
      <c r="H129"/>
      <c r="I129"/>
      <c r="J129"/>
    </row>
    <row r="130" spans="7:10" x14ac:dyDescent="0.3">
      <c r="G130"/>
      <c r="H130"/>
      <c r="I130"/>
      <c r="J130"/>
    </row>
    <row r="131" spans="7:10" x14ac:dyDescent="0.3">
      <c r="G131"/>
      <c r="H131"/>
      <c r="I131"/>
      <c r="J131"/>
    </row>
    <row r="132" spans="7:10" x14ac:dyDescent="0.3">
      <c r="G132"/>
      <c r="H132"/>
      <c r="I132"/>
      <c r="J132"/>
    </row>
    <row r="133" spans="7:10" x14ac:dyDescent="0.3">
      <c r="G133"/>
      <c r="H133"/>
      <c r="I133"/>
      <c r="J133"/>
    </row>
    <row r="134" spans="7:10" x14ac:dyDescent="0.3">
      <c r="G134"/>
      <c r="H134"/>
      <c r="I134"/>
      <c r="J134"/>
    </row>
    <row r="135" spans="7:10" x14ac:dyDescent="0.3">
      <c r="G135"/>
      <c r="H135"/>
      <c r="I135"/>
      <c r="J135"/>
    </row>
    <row r="136" spans="7:10" x14ac:dyDescent="0.3">
      <c r="G136"/>
      <c r="H136"/>
      <c r="I136"/>
      <c r="J136"/>
    </row>
    <row r="137" spans="7:10" x14ac:dyDescent="0.3">
      <c r="G137"/>
      <c r="H137"/>
      <c r="I137"/>
      <c r="J137"/>
    </row>
    <row r="138" spans="7:10" x14ac:dyDescent="0.3">
      <c r="G138"/>
      <c r="H138"/>
      <c r="I138"/>
      <c r="J138"/>
    </row>
    <row r="139" spans="7:10" x14ac:dyDescent="0.3">
      <c r="G139"/>
      <c r="H139"/>
      <c r="I139"/>
      <c r="J139"/>
    </row>
    <row r="140" spans="7:10" x14ac:dyDescent="0.3">
      <c r="G140"/>
      <c r="H140"/>
      <c r="I140"/>
      <c r="J140"/>
    </row>
    <row r="141" spans="7:10" x14ac:dyDescent="0.3">
      <c r="G141"/>
      <c r="H141"/>
      <c r="I141"/>
      <c r="J141"/>
    </row>
    <row r="142" spans="7:10" x14ac:dyDescent="0.3">
      <c r="G142"/>
      <c r="H142"/>
      <c r="I142"/>
      <c r="J142"/>
    </row>
    <row r="143" spans="7:10" x14ac:dyDescent="0.3">
      <c r="G143"/>
      <c r="H143"/>
      <c r="I143"/>
      <c r="J143"/>
    </row>
    <row r="144" spans="7:10" x14ac:dyDescent="0.3">
      <c r="G144"/>
      <c r="H144"/>
      <c r="I144"/>
      <c r="J144"/>
    </row>
    <row r="145" spans="6:10" x14ac:dyDescent="0.3">
      <c r="G145"/>
      <c r="H145"/>
      <c r="I145"/>
      <c r="J145"/>
    </row>
    <row r="146" spans="6:10" x14ac:dyDescent="0.3">
      <c r="G146"/>
      <c r="H146"/>
      <c r="I146"/>
      <c r="J146"/>
    </row>
    <row r="147" spans="6:10" x14ac:dyDescent="0.3">
      <c r="F147"/>
      <c r="G147"/>
      <c r="H147"/>
      <c r="I147"/>
      <c r="J147"/>
    </row>
    <row r="148" spans="6:10" x14ac:dyDescent="0.3">
      <c r="F148"/>
      <c r="G148"/>
      <c r="H148"/>
      <c r="I148"/>
      <c r="J148"/>
    </row>
    <row r="149" spans="6:10" x14ac:dyDescent="0.3">
      <c r="F149"/>
      <c r="G149"/>
      <c r="H149"/>
      <c r="I149"/>
      <c r="J149"/>
    </row>
    <row r="150" spans="6:10" x14ac:dyDescent="0.3">
      <c r="F150"/>
      <c r="G150"/>
      <c r="H150"/>
      <c r="I150"/>
      <c r="J150"/>
    </row>
    <row r="151" spans="6:10" x14ac:dyDescent="0.3">
      <c r="F151"/>
      <c r="G151"/>
      <c r="H151"/>
      <c r="I151"/>
      <c r="J151"/>
    </row>
    <row r="152" spans="6:10" x14ac:dyDescent="0.3">
      <c r="F152"/>
      <c r="G152"/>
      <c r="H152"/>
      <c r="I152"/>
      <c r="J152"/>
    </row>
    <row r="153" spans="6:10" x14ac:dyDescent="0.3">
      <c r="F153"/>
      <c r="G153"/>
      <c r="H153"/>
      <c r="I153"/>
      <c r="J153"/>
    </row>
    <row r="154" spans="6:10" x14ac:dyDescent="0.3">
      <c r="F154"/>
      <c r="G154"/>
      <c r="H154"/>
      <c r="I154"/>
      <c r="J154"/>
    </row>
    <row r="155" spans="6:10" x14ac:dyDescent="0.3">
      <c r="F155"/>
      <c r="G155"/>
      <c r="H155"/>
      <c r="I155"/>
      <c r="J155"/>
    </row>
    <row r="156" spans="6:10" x14ac:dyDescent="0.3">
      <c r="F156"/>
      <c r="G156"/>
      <c r="H156"/>
      <c r="I156"/>
      <c r="J156"/>
    </row>
    <row r="157" spans="6:10" x14ac:dyDescent="0.3">
      <c r="F157"/>
      <c r="G157"/>
      <c r="H157"/>
      <c r="I157"/>
      <c r="J157"/>
    </row>
    <row r="158" spans="6:10" x14ac:dyDescent="0.3">
      <c r="F158"/>
      <c r="G158"/>
      <c r="H158"/>
      <c r="I158"/>
      <c r="J158"/>
    </row>
    <row r="159" spans="6:10" x14ac:dyDescent="0.3">
      <c r="F159"/>
      <c r="G159"/>
      <c r="H159"/>
      <c r="I159"/>
      <c r="J159"/>
    </row>
    <row r="160" spans="6:10" x14ac:dyDescent="0.3">
      <c r="F160"/>
      <c r="G160"/>
      <c r="H160"/>
      <c r="I160"/>
      <c r="J160"/>
    </row>
    <row r="161" spans="6:10" x14ac:dyDescent="0.3">
      <c r="F161"/>
      <c r="G161"/>
      <c r="H161"/>
      <c r="I161"/>
      <c r="J161"/>
    </row>
    <row r="162" spans="6:10" x14ac:dyDescent="0.3">
      <c r="F162"/>
      <c r="G162"/>
      <c r="H162"/>
      <c r="I162"/>
      <c r="J162"/>
    </row>
  </sheetData>
  <mergeCells count="15">
    <mergeCell ref="Z78:AB78"/>
    <mergeCell ref="AC78:AE78"/>
    <mergeCell ref="Y80:AE80"/>
    <mergeCell ref="Y86:AE86"/>
    <mergeCell ref="Y90:AE90"/>
    <mergeCell ref="I97:V97"/>
    <mergeCell ref="V77:V78"/>
    <mergeCell ref="T77:T78"/>
    <mergeCell ref="U77:U78"/>
    <mergeCell ref="S77:S78"/>
    <mergeCell ref="G10:I10"/>
    <mergeCell ref="K10:M10"/>
    <mergeCell ref="K77:M77"/>
    <mergeCell ref="H77:J77"/>
    <mergeCell ref="W77:W78"/>
  </mergeCells>
  <phoneticPr fontId="18" type="noConversion"/>
  <pageMargins left="0.7" right="0.7" top="0.75" bottom="0.75" header="0.3" footer="0.3"/>
  <pageSetup paperSize="9" orientation="portrait" horizontalDpi="4294967293"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1765F74-BCEA-4D52-B9D9-EE86978752BF}">
  <dimension ref="B8:P135"/>
  <sheetViews>
    <sheetView showGridLines="0" topLeftCell="B134" zoomScale="63" zoomScaleNormal="63" workbookViewId="0">
      <selection activeCell="G114" sqref="G114"/>
    </sheetView>
  </sheetViews>
  <sheetFormatPr baseColWidth="10" defaultColWidth="9.109375" defaultRowHeight="14.4" x14ac:dyDescent="0.3"/>
  <cols>
    <col min="2" max="2" width="15.44140625" customWidth="1"/>
    <col min="3" max="3" width="35.6640625" bestFit="1" customWidth="1"/>
    <col min="4" max="4" width="20.5546875" bestFit="1" customWidth="1"/>
    <col min="5" max="5" width="12.6640625" bestFit="1" customWidth="1"/>
    <col min="6" max="6" width="14.109375" customWidth="1"/>
    <col min="7" max="7" width="15" bestFit="1" customWidth="1"/>
    <col min="8" max="8" width="41.33203125" bestFit="1" customWidth="1"/>
    <col min="9" max="9" width="16.109375" bestFit="1" customWidth="1"/>
    <col min="10" max="11" width="12.6640625" bestFit="1" customWidth="1"/>
    <col min="12" max="12" width="14.5546875" bestFit="1" customWidth="1"/>
    <col min="13" max="13" width="10.33203125" bestFit="1" customWidth="1"/>
    <col min="14" max="14" width="9.6640625" customWidth="1"/>
    <col min="15" max="15" width="10.33203125" bestFit="1" customWidth="1"/>
    <col min="16" max="16" width="7" bestFit="1" customWidth="1"/>
    <col min="17" max="17" width="7.33203125" bestFit="1" customWidth="1"/>
    <col min="18" max="18" width="10.33203125" bestFit="1" customWidth="1"/>
    <col min="19" max="19" width="7" bestFit="1" customWidth="1"/>
    <col min="20" max="20" width="8.44140625" bestFit="1" customWidth="1"/>
    <col min="21" max="21" width="11.5546875" bestFit="1" customWidth="1"/>
    <col min="22" max="26" width="8.44140625" bestFit="1" customWidth="1"/>
    <col min="27" max="27" width="11.44140625" bestFit="1" customWidth="1"/>
    <col min="28" max="29" width="8.44140625" bestFit="1" customWidth="1"/>
    <col min="30" max="30" width="11.44140625" bestFit="1" customWidth="1"/>
    <col min="31" max="32" width="9.6640625" bestFit="1" customWidth="1"/>
    <col min="33" max="37" width="11.5546875" bestFit="1" customWidth="1"/>
    <col min="38" max="38" width="8.44140625" bestFit="1" customWidth="1"/>
    <col min="39" max="45" width="11.5546875" bestFit="1" customWidth="1"/>
    <col min="46" max="46" width="8.44140625" bestFit="1" customWidth="1"/>
    <col min="47" max="52" width="11.5546875" bestFit="1" customWidth="1"/>
    <col min="53" max="53" width="8.44140625" bestFit="1" customWidth="1"/>
    <col min="54" max="59" width="11.5546875" bestFit="1" customWidth="1"/>
    <col min="60" max="60" width="8.44140625" bestFit="1" customWidth="1"/>
    <col min="61" max="67" width="11.5546875" bestFit="1" customWidth="1"/>
    <col min="68" max="68" width="8.44140625" bestFit="1" customWidth="1"/>
    <col min="69" max="74" width="11.5546875" bestFit="1" customWidth="1"/>
    <col min="75" max="75" width="8.44140625" bestFit="1" customWidth="1"/>
    <col min="76" max="81" width="11.5546875" bestFit="1" customWidth="1"/>
    <col min="82" max="82" width="8.44140625" bestFit="1" customWidth="1"/>
    <col min="83" max="89" width="11.5546875" bestFit="1" customWidth="1"/>
    <col min="90" max="90" width="8.44140625" bestFit="1" customWidth="1"/>
    <col min="91" max="96" width="11.5546875" bestFit="1" customWidth="1"/>
    <col min="97" max="97" width="8.44140625" bestFit="1" customWidth="1"/>
    <col min="98" max="103" width="11.5546875" bestFit="1" customWidth="1"/>
    <col min="104" max="104" width="8.44140625" bestFit="1" customWidth="1"/>
    <col min="105" max="111" width="11.5546875" bestFit="1" customWidth="1"/>
    <col min="112" max="112" width="8.44140625" bestFit="1" customWidth="1"/>
    <col min="113" max="118" width="11.5546875" bestFit="1" customWidth="1"/>
    <col min="119" max="119" width="8.44140625" bestFit="1" customWidth="1"/>
    <col min="120" max="125" width="11.5546875" bestFit="1" customWidth="1"/>
    <col min="126" max="126" width="8.44140625" bestFit="1" customWidth="1"/>
    <col min="127" max="133" width="11.5546875" bestFit="1" customWidth="1"/>
    <col min="134" max="134" width="8.44140625" bestFit="1" customWidth="1"/>
    <col min="135" max="140" width="11.5546875" bestFit="1" customWidth="1"/>
    <col min="141" max="141" width="8.44140625" bestFit="1" customWidth="1"/>
    <col min="142" max="147" width="11.5546875" bestFit="1" customWidth="1"/>
    <col min="148" max="148" width="8.44140625" bestFit="1" customWidth="1"/>
    <col min="149" max="155" width="11.5546875" bestFit="1" customWidth="1"/>
    <col min="156" max="156" width="8.44140625" bestFit="1" customWidth="1"/>
    <col min="157" max="162" width="11.5546875" bestFit="1" customWidth="1"/>
    <col min="163" max="163" width="8.44140625" bestFit="1" customWidth="1"/>
    <col min="164" max="169" width="11.5546875" bestFit="1" customWidth="1"/>
    <col min="170" max="170" width="8.44140625" bestFit="1" customWidth="1"/>
    <col min="171" max="177" width="11.5546875" bestFit="1" customWidth="1"/>
    <col min="178" max="178" width="8.44140625" bestFit="1" customWidth="1"/>
    <col min="179" max="184" width="11.5546875" bestFit="1" customWidth="1"/>
    <col min="185" max="185" width="9.6640625" bestFit="1" customWidth="1"/>
    <col min="186" max="191" width="11.5546875" bestFit="1" customWidth="1"/>
    <col min="192" max="192" width="9.6640625" bestFit="1" customWidth="1"/>
    <col min="193" max="199" width="11.5546875" bestFit="1" customWidth="1"/>
    <col min="200" max="200" width="9.6640625" bestFit="1" customWidth="1"/>
  </cols>
  <sheetData>
    <row r="8" spans="2:10" x14ac:dyDescent="0.3">
      <c r="D8" s="108"/>
      <c r="E8" s="108"/>
    </row>
    <row r="9" spans="2:10" ht="28.8" x14ac:dyDescent="0.3">
      <c r="B9" s="118" t="s">
        <v>125</v>
      </c>
      <c r="C9" s="3" t="s">
        <v>124</v>
      </c>
      <c r="D9" s="108"/>
      <c r="E9" s="108"/>
      <c r="G9" s="118" t="s">
        <v>125</v>
      </c>
      <c r="H9" s="3" t="s">
        <v>124</v>
      </c>
      <c r="I9" s="108"/>
      <c r="J9" s="108"/>
    </row>
    <row r="10" spans="2:10" x14ac:dyDescent="0.3">
      <c r="B10" s="100"/>
      <c r="C10" s="114"/>
      <c r="D10" s="108"/>
      <c r="E10" s="108"/>
      <c r="G10" s="100"/>
      <c r="H10" s="114"/>
      <c r="I10" s="108"/>
      <c r="J10" s="108"/>
    </row>
    <row r="11" spans="2:10" ht="43.2" x14ac:dyDescent="0.3">
      <c r="B11" s="118" t="s">
        <v>54</v>
      </c>
      <c r="C11" s="118" t="s">
        <v>51</v>
      </c>
      <c r="D11" s="118" t="s">
        <v>52</v>
      </c>
      <c r="E11" s="119" t="s">
        <v>55</v>
      </c>
      <c r="G11" s="118" t="s">
        <v>481</v>
      </c>
      <c r="H11" s="118" t="s">
        <v>54</v>
      </c>
      <c r="I11" s="118" t="s">
        <v>51</v>
      </c>
      <c r="J11" s="119" t="s">
        <v>55</v>
      </c>
    </row>
    <row r="12" spans="2:10" ht="19.95" customHeight="1" x14ac:dyDescent="0.3">
      <c r="B12" s="3" t="s">
        <v>402</v>
      </c>
      <c r="C12" s="3" t="s">
        <v>403</v>
      </c>
      <c r="D12" s="3" t="s">
        <v>404</v>
      </c>
      <c r="E12" s="119">
        <v>0</v>
      </c>
      <c r="G12" s="3" t="s">
        <v>401</v>
      </c>
      <c r="H12" s="3"/>
      <c r="I12" s="3"/>
      <c r="J12" s="119">
        <v>7620236.7633892233</v>
      </c>
    </row>
    <row r="13" spans="2:10" ht="30.6" customHeight="1" x14ac:dyDescent="0.3">
      <c r="B13" s="3"/>
      <c r="C13" s="3"/>
      <c r="D13" s="3" t="s">
        <v>405</v>
      </c>
      <c r="E13" s="119">
        <v>0</v>
      </c>
      <c r="G13" s="3"/>
      <c r="H13" s="3" t="s">
        <v>57</v>
      </c>
      <c r="I13" s="3"/>
      <c r="J13" s="119">
        <v>0</v>
      </c>
    </row>
    <row r="14" spans="2:10" ht="25.2" customHeight="1" x14ac:dyDescent="0.3">
      <c r="B14" s="3"/>
      <c r="C14" s="3"/>
      <c r="D14" s="3" t="s">
        <v>406</v>
      </c>
      <c r="E14" s="119">
        <v>0</v>
      </c>
      <c r="G14" s="3"/>
      <c r="H14" s="3"/>
      <c r="I14" s="3" t="s">
        <v>56</v>
      </c>
      <c r="J14" s="119">
        <v>0</v>
      </c>
    </row>
    <row r="15" spans="2:10" x14ac:dyDescent="0.3">
      <c r="B15" s="3"/>
      <c r="C15" s="3" t="s">
        <v>407</v>
      </c>
      <c r="D15" s="3" t="s">
        <v>408</v>
      </c>
      <c r="E15" s="119">
        <v>1081581.655</v>
      </c>
      <c r="G15" s="3"/>
      <c r="H15" s="3" t="s">
        <v>402</v>
      </c>
      <c r="I15" s="3"/>
      <c r="J15" s="119">
        <v>6489489.9299999997</v>
      </c>
    </row>
    <row r="16" spans="2:10" x14ac:dyDescent="0.3">
      <c r="B16" s="3"/>
      <c r="C16" s="3"/>
      <c r="D16" s="3" t="s">
        <v>409</v>
      </c>
      <c r="E16" s="119">
        <v>1081581.655</v>
      </c>
      <c r="G16" s="3"/>
      <c r="H16" s="3"/>
      <c r="I16" s="3" t="s">
        <v>403</v>
      </c>
      <c r="J16" s="119">
        <v>0</v>
      </c>
    </row>
    <row r="17" spans="2:10" x14ac:dyDescent="0.3">
      <c r="B17" s="3"/>
      <c r="C17" s="3"/>
      <c r="D17" s="3" t="s">
        <v>410</v>
      </c>
      <c r="E17" s="119">
        <v>1081581.655</v>
      </c>
      <c r="G17" s="3"/>
      <c r="H17" s="3"/>
      <c r="I17" s="3" t="s">
        <v>407</v>
      </c>
      <c r="J17" s="119">
        <v>4326326.62</v>
      </c>
    </row>
    <row r="18" spans="2:10" x14ac:dyDescent="0.3">
      <c r="B18" s="3"/>
      <c r="C18" s="3"/>
      <c r="D18" s="3" t="s">
        <v>411</v>
      </c>
      <c r="E18" s="119">
        <v>1081581.655</v>
      </c>
      <c r="G18" s="3"/>
      <c r="H18" s="3"/>
      <c r="I18" s="3" t="s">
        <v>412</v>
      </c>
      <c r="J18" s="119">
        <v>2163163.31</v>
      </c>
    </row>
    <row r="19" spans="2:10" x14ac:dyDescent="0.3">
      <c r="B19" s="3"/>
      <c r="C19" s="3" t="s">
        <v>412</v>
      </c>
      <c r="D19" s="3" t="s">
        <v>413</v>
      </c>
      <c r="E19" s="119">
        <v>1081581.655</v>
      </c>
      <c r="G19" s="3"/>
      <c r="H19" s="3" t="s">
        <v>482</v>
      </c>
      <c r="I19" s="3"/>
      <c r="J19" s="119">
        <v>1041467.4104170753</v>
      </c>
    </row>
    <row r="20" spans="2:10" x14ac:dyDescent="0.3">
      <c r="B20" s="3"/>
      <c r="C20" s="3"/>
      <c r="D20" s="3" t="s">
        <v>414</v>
      </c>
      <c r="E20" s="119">
        <v>1081581.655</v>
      </c>
      <c r="G20" s="3"/>
      <c r="H20" s="3"/>
      <c r="I20" s="3" t="s">
        <v>415</v>
      </c>
      <c r="J20" s="119">
        <v>1041467.4104170753</v>
      </c>
    </row>
    <row r="21" spans="2:10" x14ac:dyDescent="0.3">
      <c r="B21" s="3" t="s">
        <v>432</v>
      </c>
      <c r="C21" s="3" t="s">
        <v>434</v>
      </c>
      <c r="D21" s="3" t="s">
        <v>436</v>
      </c>
      <c r="E21" s="119">
        <v>878535.96389428922</v>
      </c>
      <c r="G21" s="3"/>
      <c r="H21" s="3" t="s">
        <v>424</v>
      </c>
      <c r="I21" s="3"/>
      <c r="J21" s="119">
        <v>89279.422972148124</v>
      </c>
    </row>
    <row r="22" spans="2:10" x14ac:dyDescent="0.3">
      <c r="B22" s="3"/>
      <c r="C22" s="3" t="s">
        <v>438</v>
      </c>
      <c r="D22" s="3" t="s">
        <v>439</v>
      </c>
      <c r="E22" s="119">
        <v>921375.15485455003</v>
      </c>
      <c r="G22" s="3"/>
      <c r="H22" s="3"/>
      <c r="I22" s="3" t="s">
        <v>426</v>
      </c>
      <c r="J22" s="119">
        <v>89279.422972148124</v>
      </c>
    </row>
    <row r="23" spans="2:10" x14ac:dyDescent="0.3">
      <c r="B23" s="3"/>
      <c r="C23" s="3"/>
      <c r="D23" s="3" t="s">
        <v>441</v>
      </c>
      <c r="E23" s="119">
        <v>721907.23448823288</v>
      </c>
      <c r="G23" s="3" t="s">
        <v>431</v>
      </c>
      <c r="H23" s="3"/>
      <c r="I23" s="3"/>
      <c r="J23" s="119">
        <v>3965632.822213538</v>
      </c>
    </row>
    <row r="24" spans="2:10" x14ac:dyDescent="0.3">
      <c r="B24" s="3"/>
      <c r="C24" s="3"/>
      <c r="D24" s="3" t="s">
        <v>443</v>
      </c>
      <c r="E24" s="119">
        <v>721907.23448823288</v>
      </c>
      <c r="G24" s="3"/>
      <c r="H24" s="3" t="s">
        <v>432</v>
      </c>
      <c r="I24" s="3"/>
      <c r="J24" s="119">
        <v>3965632.822213538</v>
      </c>
    </row>
    <row r="25" spans="2:10" x14ac:dyDescent="0.3">
      <c r="B25" s="3"/>
      <c r="C25" s="3" t="s">
        <v>445</v>
      </c>
      <c r="D25" s="3" t="s">
        <v>446</v>
      </c>
      <c r="E25" s="119">
        <v>721907.23448823288</v>
      </c>
      <c r="G25" s="3"/>
      <c r="H25" s="3"/>
      <c r="I25" s="3" t="s">
        <v>434</v>
      </c>
      <c r="J25" s="119">
        <v>878535.96389428922</v>
      </c>
    </row>
    <row r="26" spans="2:10" x14ac:dyDescent="0.3">
      <c r="B26" s="3"/>
      <c r="C26" s="3" t="s">
        <v>483</v>
      </c>
      <c r="D26" s="3" t="s">
        <v>485</v>
      </c>
      <c r="E26" s="119"/>
      <c r="G26" s="3"/>
      <c r="H26" s="3"/>
      <c r="I26" s="3" t="s">
        <v>438</v>
      </c>
      <c r="J26" s="119">
        <v>2365189.623831016</v>
      </c>
    </row>
    <row r="27" spans="2:10" x14ac:dyDescent="0.3">
      <c r="B27" s="3"/>
      <c r="C27" s="3" t="s">
        <v>486</v>
      </c>
      <c r="D27" s="3" t="s">
        <v>488</v>
      </c>
      <c r="E27" s="119"/>
      <c r="G27" s="3"/>
      <c r="H27" s="3"/>
      <c r="I27" s="3" t="s">
        <v>445</v>
      </c>
      <c r="J27" s="119">
        <v>721907.23448823288</v>
      </c>
    </row>
    <row r="28" spans="2:10" x14ac:dyDescent="0.3">
      <c r="B28" s="3"/>
      <c r="C28" s="3"/>
      <c r="D28" s="3" t="s">
        <v>490</v>
      </c>
      <c r="E28" s="119"/>
      <c r="G28" s="3"/>
      <c r="H28" s="3"/>
      <c r="I28" s="3" t="s">
        <v>483</v>
      </c>
      <c r="J28" s="119"/>
    </row>
    <row r="29" spans="2:10" x14ac:dyDescent="0.3">
      <c r="B29" s="3"/>
      <c r="C29" s="3"/>
      <c r="D29" s="3" t="s">
        <v>492</v>
      </c>
      <c r="E29" s="119"/>
      <c r="G29" s="3"/>
      <c r="H29" s="3"/>
      <c r="I29" s="3" t="s">
        <v>486</v>
      </c>
      <c r="J29" s="119"/>
    </row>
    <row r="30" spans="2:10" x14ac:dyDescent="0.3">
      <c r="B30" s="3"/>
      <c r="C30" s="3"/>
      <c r="D30" s="3" t="s">
        <v>494</v>
      </c>
      <c r="E30" s="119"/>
      <c r="G30" s="3" t="s">
        <v>480</v>
      </c>
      <c r="H30" s="3"/>
      <c r="I30" s="3"/>
      <c r="J30" s="119">
        <v>4460085.7158148512</v>
      </c>
    </row>
    <row r="31" spans="2:10" x14ac:dyDescent="0.3">
      <c r="B31" s="3"/>
      <c r="C31" s="3"/>
      <c r="D31" s="3" t="s">
        <v>496</v>
      </c>
      <c r="E31" s="119"/>
      <c r="G31" s="3"/>
      <c r="H31" s="3" t="s">
        <v>448</v>
      </c>
      <c r="I31" s="3"/>
      <c r="J31" s="119">
        <v>2797814.3754164334</v>
      </c>
    </row>
    <row r="32" spans="2:10" x14ac:dyDescent="0.3">
      <c r="B32" s="3"/>
      <c r="C32" s="3"/>
      <c r="D32" s="3" t="s">
        <v>498</v>
      </c>
      <c r="E32" s="119"/>
      <c r="G32" s="3"/>
      <c r="H32" s="3"/>
      <c r="I32" s="3" t="s">
        <v>450</v>
      </c>
      <c r="J32" s="119">
        <v>2797814.3754164334</v>
      </c>
    </row>
    <row r="33" spans="2:10" x14ac:dyDescent="0.3">
      <c r="B33" s="3" t="s">
        <v>448</v>
      </c>
      <c r="C33" s="3" t="s">
        <v>450</v>
      </c>
      <c r="D33" s="3" t="s">
        <v>452</v>
      </c>
      <c r="E33" s="119">
        <v>600249.30306203058</v>
      </c>
      <c r="G33" s="3"/>
      <c r="H33" s="3"/>
      <c r="I33" s="3" t="s">
        <v>459</v>
      </c>
      <c r="J33" s="119"/>
    </row>
    <row r="34" spans="2:10" x14ac:dyDescent="0.3">
      <c r="B34" s="3"/>
      <c r="C34" s="3"/>
      <c r="D34" s="3" t="s">
        <v>453</v>
      </c>
      <c r="E34" s="119">
        <v>600249.30306203058</v>
      </c>
      <c r="G34" s="3"/>
      <c r="H34" s="3" t="s">
        <v>467</v>
      </c>
      <c r="I34" s="3"/>
      <c r="J34" s="119">
        <v>1662271.3403984178</v>
      </c>
    </row>
    <row r="35" spans="2:10" x14ac:dyDescent="0.3">
      <c r="B35" s="3"/>
      <c r="C35" s="3"/>
      <c r="D35" s="3" t="s">
        <v>455</v>
      </c>
      <c r="E35" s="119">
        <v>600249.30306203058</v>
      </c>
      <c r="G35" s="3"/>
      <c r="H35" s="3"/>
      <c r="I35" s="3" t="s">
        <v>387</v>
      </c>
      <c r="J35" s="119">
        <v>1662271.3403984178</v>
      </c>
    </row>
    <row r="36" spans="2:10" x14ac:dyDescent="0.3">
      <c r="B36" s="3"/>
      <c r="C36" s="3"/>
      <c r="D36" s="3" t="s">
        <v>457</v>
      </c>
      <c r="E36" s="119">
        <v>997066.46623034193</v>
      </c>
    </row>
    <row r="37" spans="2:10" x14ac:dyDescent="0.3">
      <c r="B37" s="3"/>
      <c r="C37" s="3" t="s">
        <v>459</v>
      </c>
      <c r="D37" s="3" t="s">
        <v>461</v>
      </c>
      <c r="E37" s="119"/>
    </row>
    <row r="38" spans="2:10" x14ac:dyDescent="0.3">
      <c r="B38" s="3"/>
      <c r="C38" s="3"/>
      <c r="D38" s="3" t="s">
        <v>463</v>
      </c>
      <c r="E38" s="119"/>
    </row>
    <row r="39" spans="2:10" x14ac:dyDescent="0.3">
      <c r="B39" s="3"/>
      <c r="C39" s="3"/>
      <c r="D39" s="3" t="s">
        <v>465</v>
      </c>
      <c r="E39" s="119"/>
    </row>
    <row r="40" spans="2:10" x14ac:dyDescent="0.3">
      <c r="B40" s="3" t="s">
        <v>467</v>
      </c>
      <c r="C40" s="3" t="s">
        <v>387</v>
      </c>
      <c r="D40" s="3" t="s">
        <v>469</v>
      </c>
      <c r="E40" s="119">
        <v>559549.37997633812</v>
      </c>
    </row>
    <row r="41" spans="2:10" x14ac:dyDescent="0.3">
      <c r="B41" s="3"/>
      <c r="C41" s="3"/>
      <c r="D41" s="3" t="s">
        <v>470</v>
      </c>
      <c r="E41" s="119">
        <v>44639.711486074062</v>
      </c>
    </row>
    <row r="42" spans="2:10" x14ac:dyDescent="0.3">
      <c r="B42" s="3"/>
      <c r="C42" s="3"/>
      <c r="D42" s="3" t="s">
        <v>471</v>
      </c>
      <c r="E42" s="119">
        <v>44639.711486074062</v>
      </c>
    </row>
    <row r="43" spans="2:10" x14ac:dyDescent="0.3">
      <c r="B43" s="3"/>
      <c r="C43" s="3"/>
      <c r="D43" s="3" t="s">
        <v>472</v>
      </c>
      <c r="E43" s="119">
        <v>291535.30296169844</v>
      </c>
    </row>
    <row r="44" spans="2:10" x14ac:dyDescent="0.3">
      <c r="B44" s="3"/>
      <c r="C44" s="3"/>
      <c r="D44" s="3" t="s">
        <v>473</v>
      </c>
      <c r="E44" s="119">
        <v>0</v>
      </c>
    </row>
    <row r="45" spans="2:10" x14ac:dyDescent="0.3">
      <c r="B45" s="3"/>
      <c r="C45" s="3"/>
      <c r="D45" s="3" t="s">
        <v>474</v>
      </c>
      <c r="E45" s="119">
        <v>721907.23448823288</v>
      </c>
    </row>
    <row r="46" spans="2:10" x14ac:dyDescent="0.3">
      <c r="B46" s="3"/>
      <c r="C46" s="3"/>
      <c r="D46" s="3" t="s">
        <v>475</v>
      </c>
      <c r="E46" s="119"/>
    </row>
    <row r="47" spans="2:10" x14ac:dyDescent="0.3">
      <c r="B47" s="3"/>
      <c r="C47" s="3"/>
      <c r="D47" s="3" t="s">
        <v>477</v>
      </c>
      <c r="E47" s="119"/>
    </row>
    <row r="48" spans="2:10" x14ac:dyDescent="0.3">
      <c r="B48" s="3" t="s">
        <v>482</v>
      </c>
      <c r="C48" s="3" t="s">
        <v>415</v>
      </c>
      <c r="D48" s="3" t="s">
        <v>416</v>
      </c>
      <c r="E48" s="119">
        <v>118082.96529787737</v>
      </c>
    </row>
    <row r="49" spans="2:5" x14ac:dyDescent="0.3">
      <c r="B49" s="3"/>
      <c r="C49" s="3"/>
      <c r="D49" s="3" t="s">
        <v>417</v>
      </c>
      <c r="E49" s="119">
        <v>687218.5145234433</v>
      </c>
    </row>
    <row r="50" spans="2:5" x14ac:dyDescent="0.3">
      <c r="B50" s="3"/>
      <c r="C50" s="3"/>
      <c r="D50" s="3" t="s">
        <v>418</v>
      </c>
      <c r="E50" s="119">
        <v>118082.96529787737</v>
      </c>
    </row>
    <row r="51" spans="2:5" x14ac:dyDescent="0.3">
      <c r="B51" s="3"/>
      <c r="C51" s="3"/>
      <c r="D51" s="3" t="s">
        <v>419</v>
      </c>
      <c r="E51" s="119">
        <v>118082.96529787737</v>
      </c>
    </row>
    <row r="52" spans="2:5" x14ac:dyDescent="0.3">
      <c r="B52" s="3"/>
      <c r="C52" s="3"/>
      <c r="D52" s="3" t="s">
        <v>420</v>
      </c>
      <c r="E52" s="119"/>
    </row>
    <row r="53" spans="2:5" x14ac:dyDescent="0.3">
      <c r="B53" s="3" t="s">
        <v>424</v>
      </c>
      <c r="C53" s="3" t="s">
        <v>426</v>
      </c>
      <c r="D53" s="3" t="s">
        <v>428</v>
      </c>
      <c r="E53" s="119">
        <v>44639.711486074062</v>
      </c>
    </row>
    <row r="54" spans="2:5" x14ac:dyDescent="0.3">
      <c r="B54" s="3"/>
      <c r="C54" s="3"/>
      <c r="D54" s="3" t="s">
        <v>430</v>
      </c>
      <c r="E54" s="119">
        <v>44639.711486074062</v>
      </c>
    </row>
    <row r="83" spans="3:13" x14ac:dyDescent="0.3">
      <c r="G83" s="3"/>
      <c r="H83" s="3"/>
      <c r="I83" s="119"/>
    </row>
    <row r="84" spans="3:13" x14ac:dyDescent="0.3">
      <c r="G84" s="3"/>
      <c r="H84" s="3"/>
      <c r="I84" s="119"/>
    </row>
    <row r="85" spans="3:13" x14ac:dyDescent="0.3">
      <c r="G85" s="3"/>
      <c r="H85" s="3"/>
      <c r="I85" s="119"/>
    </row>
    <row r="86" spans="3:13" x14ac:dyDescent="0.3">
      <c r="G86" s="3"/>
      <c r="H86" s="3"/>
      <c r="I86" s="119"/>
    </row>
    <row r="89" spans="3:13" x14ac:dyDescent="0.3">
      <c r="C89" s="118" t="s">
        <v>125</v>
      </c>
      <c r="D89" s="3" t="s">
        <v>124</v>
      </c>
    </row>
    <row r="90" spans="3:13" x14ac:dyDescent="0.3">
      <c r="C90" s="118" t="s">
        <v>51</v>
      </c>
      <c r="D90" s="3" t="s">
        <v>124</v>
      </c>
    </row>
    <row r="91" spans="3:13" x14ac:dyDescent="0.3">
      <c r="C91" s="118" t="s">
        <v>54</v>
      </c>
      <c r="D91" s="3" t="s">
        <v>156</v>
      </c>
      <c r="E91" s="108"/>
    </row>
    <row r="92" spans="3:13" x14ac:dyDescent="0.3">
      <c r="C92" s="100"/>
      <c r="D92" s="114"/>
      <c r="E92" s="108"/>
    </row>
    <row r="93" spans="3:13" ht="100.8" x14ac:dyDescent="0.3">
      <c r="C93" s="118" t="s">
        <v>481</v>
      </c>
      <c r="D93" s="3" t="s">
        <v>143</v>
      </c>
      <c r="E93" s="3" t="s">
        <v>144</v>
      </c>
      <c r="F93" s="3" t="s">
        <v>145</v>
      </c>
      <c r="G93" s="3" t="s">
        <v>146</v>
      </c>
      <c r="H93" s="3" t="s">
        <v>147</v>
      </c>
      <c r="I93" s="3" t="s">
        <v>148</v>
      </c>
      <c r="J93" s="3" t="s">
        <v>149</v>
      </c>
      <c r="K93" s="3" t="s">
        <v>150</v>
      </c>
      <c r="L93" s="3" t="s">
        <v>151</v>
      </c>
      <c r="M93" s="3" t="s">
        <v>152</v>
      </c>
    </row>
    <row r="94" spans="3:13" x14ac:dyDescent="0.3">
      <c r="C94" s="3" t="s">
        <v>401</v>
      </c>
      <c r="D94" s="119">
        <v>5876542.5081173088</v>
      </c>
      <c r="E94" s="119">
        <v>274260.88072036544</v>
      </c>
      <c r="F94" s="119">
        <v>1055828.5706253389</v>
      </c>
      <c r="G94" s="119">
        <v>5978.7142779392479</v>
      </c>
      <c r="H94" s="119">
        <v>2759.2463589904041</v>
      </c>
      <c r="I94" s="119">
        <v>44.093588100193834</v>
      </c>
      <c r="J94" s="119">
        <v>0</v>
      </c>
      <c r="K94" s="119">
        <v>173946.00986772124</v>
      </c>
      <c r="L94" s="119">
        <v>222312.3018917439</v>
      </c>
      <c r="M94" s="119">
        <v>8564.4379417153341</v>
      </c>
    </row>
    <row r="95" spans="3:13" x14ac:dyDescent="0.3">
      <c r="C95" s="3" t="s">
        <v>431</v>
      </c>
      <c r="D95" s="119">
        <v>3256328.6831089151</v>
      </c>
      <c r="E95" s="119">
        <v>109499.72213868159</v>
      </c>
      <c r="F95" s="119">
        <v>421543.65874524455</v>
      </c>
      <c r="G95" s="119">
        <v>3312.9444336485594</v>
      </c>
      <c r="H95" s="119">
        <v>1296.7022232916147</v>
      </c>
      <c r="I95" s="119">
        <v>31.304268660397234</v>
      </c>
      <c r="J95" s="119">
        <v>0</v>
      </c>
      <c r="K95" s="119">
        <v>123493.07144000185</v>
      </c>
      <c r="L95" s="119">
        <v>48387.662154325793</v>
      </c>
      <c r="M95" s="119">
        <v>1739.0737007689829</v>
      </c>
    </row>
    <row r="96" spans="3:13" x14ac:dyDescent="0.3">
      <c r="C96" s="3" t="s">
        <v>480</v>
      </c>
      <c r="D96" s="119">
        <v>3673799.2686132169</v>
      </c>
      <c r="E96" s="119">
        <v>127563.56404515594</v>
      </c>
      <c r="F96" s="119">
        <v>491084.45628815371</v>
      </c>
      <c r="G96" s="119">
        <v>3737.67331916697</v>
      </c>
      <c r="H96" s="119">
        <v>2864.8245906078159</v>
      </c>
      <c r="I96" s="119">
        <v>29.605518332911661</v>
      </c>
      <c r="J96" s="119">
        <v>0</v>
      </c>
      <c r="K96" s="119">
        <v>116791.62449592106</v>
      </c>
      <c r="L96" s="119">
        <v>43305.488277893252</v>
      </c>
      <c r="M96" s="119">
        <v>909.21066640292645</v>
      </c>
    </row>
    <row r="98" spans="3:14" ht="12" customHeight="1" x14ac:dyDescent="0.3"/>
    <row r="100" spans="3:14" x14ac:dyDescent="0.3">
      <c r="N100" s="117">
        <f>SUM(D100:M100)</f>
        <v>0</v>
      </c>
    </row>
    <row r="101" spans="3:14" x14ac:dyDescent="0.3">
      <c r="N101" s="117">
        <f t="shared" ref="N101:N102" si="0">SUM(D101:M101)</f>
        <v>0</v>
      </c>
    </row>
    <row r="102" spans="3:14" x14ac:dyDescent="0.3">
      <c r="N102" s="117">
        <f t="shared" si="0"/>
        <v>0</v>
      </c>
    </row>
    <row r="105" spans="3:14" x14ac:dyDescent="0.3">
      <c r="D105" s="3" t="s">
        <v>401</v>
      </c>
      <c r="E105" s="3" t="s">
        <v>431</v>
      </c>
      <c r="F105" s="3" t="s">
        <v>480</v>
      </c>
    </row>
    <row r="106" spans="3:14" ht="28.8" x14ac:dyDescent="0.3">
      <c r="C106" s="265" t="s">
        <v>143</v>
      </c>
      <c r="D106" s="126">
        <v>5876542.5081173088</v>
      </c>
      <c r="E106" s="126">
        <v>3256328.6831089151</v>
      </c>
      <c r="F106" s="126">
        <v>3673799.2686132169</v>
      </c>
      <c r="G106" s="112">
        <f>SUM(D106:F106)</f>
        <v>12806670.459839441</v>
      </c>
    </row>
    <row r="107" spans="3:14" ht="28.8" x14ac:dyDescent="0.3">
      <c r="C107" s="265" t="s">
        <v>144</v>
      </c>
      <c r="D107" s="126">
        <v>274260.88072036544</v>
      </c>
      <c r="E107" s="126">
        <v>109499.72213868159</v>
      </c>
      <c r="F107" s="126">
        <v>127563.56404515594</v>
      </c>
      <c r="G107" s="112">
        <f t="shared" ref="G107:G115" si="1">SUM(D107:F107)</f>
        <v>511324.16690420295</v>
      </c>
    </row>
    <row r="108" spans="3:14" x14ac:dyDescent="0.3">
      <c r="C108" s="265" t="s">
        <v>145</v>
      </c>
      <c r="D108" s="126">
        <v>1055828.5706253389</v>
      </c>
      <c r="E108" s="126">
        <v>421543.65874524455</v>
      </c>
      <c r="F108" s="126">
        <v>491084.45628815371</v>
      </c>
      <c r="G108" s="112">
        <f t="shared" si="1"/>
        <v>1968456.6856587373</v>
      </c>
    </row>
    <row r="109" spans="3:14" ht="28.8" x14ac:dyDescent="0.3">
      <c r="C109" s="265" t="s">
        <v>146</v>
      </c>
      <c r="D109" s="126">
        <v>5978.7142779392479</v>
      </c>
      <c r="E109" s="126">
        <v>3312.9444336485594</v>
      </c>
      <c r="F109" s="126">
        <v>3737.67331916697</v>
      </c>
      <c r="G109" s="112">
        <f t="shared" si="1"/>
        <v>13029.332030754776</v>
      </c>
      <c r="K109" s="117">
        <f>SUM('ER Target'!H58:H60)</f>
        <v>29608981</v>
      </c>
      <c r="M109" s="117">
        <f>SUM('ER Target'!J58:J60)</f>
        <v>2290677.5113012465</v>
      </c>
    </row>
    <row r="110" spans="3:14" ht="28.8" x14ac:dyDescent="0.3">
      <c r="C110" s="265" t="s">
        <v>147</v>
      </c>
      <c r="D110" s="126">
        <v>2759.2463589904041</v>
      </c>
      <c r="E110" s="126">
        <v>1296.7022232916147</v>
      </c>
      <c r="F110" s="126">
        <v>2864.8245906078159</v>
      </c>
      <c r="G110" s="112">
        <f t="shared" si="1"/>
        <v>6920.7731728898343</v>
      </c>
    </row>
    <row r="111" spans="3:14" ht="28.8" x14ac:dyDescent="0.3">
      <c r="C111" s="265" t="s">
        <v>148</v>
      </c>
      <c r="D111" s="126">
        <v>44.093588100193834</v>
      </c>
      <c r="E111" s="126">
        <v>31.304268660397234</v>
      </c>
      <c r="F111" s="126">
        <v>29.605518332911661</v>
      </c>
      <c r="G111" s="112">
        <f t="shared" si="1"/>
        <v>105.00337509350273</v>
      </c>
    </row>
    <row r="112" spans="3:14" ht="28.8" x14ac:dyDescent="0.3">
      <c r="C112" s="265" t="s">
        <v>149</v>
      </c>
      <c r="D112" s="126">
        <v>0</v>
      </c>
      <c r="E112" s="126">
        <v>0</v>
      </c>
      <c r="F112" s="126">
        <v>0</v>
      </c>
      <c r="G112" s="112">
        <f t="shared" si="1"/>
        <v>0</v>
      </c>
    </row>
    <row r="113" spans="3:16" ht="28.8" x14ac:dyDescent="0.3">
      <c r="C113" s="265" t="s">
        <v>150</v>
      </c>
      <c r="D113" s="126">
        <v>173946.00986772124</v>
      </c>
      <c r="E113" s="126">
        <v>123493.07144000185</v>
      </c>
      <c r="F113" s="126">
        <v>116791.62449592106</v>
      </c>
      <c r="G113" s="112">
        <f t="shared" si="1"/>
        <v>414230.70580364414</v>
      </c>
    </row>
    <row r="114" spans="3:16" ht="28.8" x14ac:dyDescent="0.3">
      <c r="C114" s="265" t="s">
        <v>151</v>
      </c>
      <c r="D114" s="126">
        <v>222312.3018917439</v>
      </c>
      <c r="E114" s="126">
        <v>48387.662154325793</v>
      </c>
      <c r="F114" s="126">
        <v>43305.488277893252</v>
      </c>
      <c r="G114" s="112">
        <f>SUM(D114:F114)</f>
        <v>314005.45232396293</v>
      </c>
    </row>
    <row r="115" spans="3:16" ht="28.8" x14ac:dyDescent="0.3">
      <c r="C115" s="265" t="s">
        <v>152</v>
      </c>
      <c r="D115" s="126">
        <v>8564.4379417153341</v>
      </c>
      <c r="E115" s="126">
        <v>1739.0737007689829</v>
      </c>
      <c r="F115" s="126">
        <v>909.21066640292645</v>
      </c>
      <c r="G115" s="112">
        <f t="shared" si="1"/>
        <v>11212.722308887243</v>
      </c>
    </row>
    <row r="116" spans="3:16" x14ac:dyDescent="0.3">
      <c r="D116" s="266">
        <f>SUM(D106:D115)</f>
        <v>7620236.7633892233</v>
      </c>
      <c r="E116" s="266">
        <f>SUM(E106:E115)</f>
        <v>3965632.8222135385</v>
      </c>
      <c r="F116" s="266">
        <f>SUM(F106:F115)</f>
        <v>4460085.7158148503</v>
      </c>
      <c r="G116" s="266">
        <f>SUM(G106:G115)</f>
        <v>16045955.301417613</v>
      </c>
    </row>
    <row r="119" spans="3:16" x14ac:dyDescent="0.3">
      <c r="C119" t="s">
        <v>153</v>
      </c>
      <c r="H119" t="s">
        <v>154</v>
      </c>
      <c r="M119" t="s">
        <v>155</v>
      </c>
    </row>
    <row r="120" spans="3:16" ht="43.2" x14ac:dyDescent="0.3">
      <c r="C120" s="118" t="s">
        <v>125</v>
      </c>
      <c r="D120" s="3" t="s">
        <v>124</v>
      </c>
      <c r="H120" s="118" t="s">
        <v>125</v>
      </c>
      <c r="I120" s="3" t="s">
        <v>124</v>
      </c>
      <c r="J120" s="3"/>
      <c r="K120" s="3"/>
      <c r="M120" s="118" t="s">
        <v>125</v>
      </c>
      <c r="N120" s="3" t="s">
        <v>124</v>
      </c>
    </row>
    <row r="121" spans="3:16" ht="28.8" x14ac:dyDescent="0.3">
      <c r="C121" s="118" t="s">
        <v>51</v>
      </c>
      <c r="D121" s="3" t="s">
        <v>156</v>
      </c>
      <c r="E121" s="108"/>
      <c r="H121" s="118" t="s">
        <v>51</v>
      </c>
      <c r="I121" s="3" t="s">
        <v>156</v>
      </c>
      <c r="J121" s="3"/>
      <c r="K121" s="3"/>
      <c r="L121" s="108"/>
      <c r="M121" s="118" t="s">
        <v>51</v>
      </c>
      <c r="N121" s="3" t="s">
        <v>124</v>
      </c>
    </row>
    <row r="122" spans="3:16" ht="28.8" x14ac:dyDescent="0.3">
      <c r="C122" s="100"/>
      <c r="D122" s="114"/>
      <c r="E122" s="108"/>
      <c r="H122" s="118" t="s">
        <v>54</v>
      </c>
      <c r="I122" s="3" t="s">
        <v>124</v>
      </c>
      <c r="J122" s="3"/>
      <c r="K122" s="3"/>
      <c r="L122" s="108"/>
      <c r="M122" s="118" t="s">
        <v>54</v>
      </c>
      <c r="N122" s="3" t="s">
        <v>124</v>
      </c>
    </row>
    <row r="123" spans="3:16" x14ac:dyDescent="0.3">
      <c r="C123" s="3"/>
      <c r="D123" s="118" t="s">
        <v>481</v>
      </c>
      <c r="E123" s="3"/>
      <c r="F123" s="3"/>
      <c r="H123" s="100"/>
      <c r="I123" s="114"/>
      <c r="J123" s="114"/>
      <c r="K123" s="114"/>
      <c r="M123" s="100"/>
      <c r="N123" s="114"/>
    </row>
    <row r="124" spans="3:16" ht="28.8" x14ac:dyDescent="0.3">
      <c r="C124" s="118" t="s">
        <v>157</v>
      </c>
      <c r="D124" s="3" t="s">
        <v>401</v>
      </c>
      <c r="E124" s="3" t="s">
        <v>431</v>
      </c>
      <c r="F124" s="3" t="s">
        <v>480</v>
      </c>
      <c r="H124" s="3"/>
      <c r="I124" s="118" t="s">
        <v>481</v>
      </c>
      <c r="J124" s="3"/>
      <c r="K124" s="3"/>
      <c r="M124" s="3"/>
      <c r="N124" s="118" t="s">
        <v>481</v>
      </c>
      <c r="O124" s="3"/>
      <c r="P124" s="3"/>
    </row>
    <row r="125" spans="3:16" ht="43.2" x14ac:dyDescent="0.3">
      <c r="C125" s="3" t="s">
        <v>158</v>
      </c>
      <c r="D125" s="127">
        <v>0.27258998084323838</v>
      </c>
      <c r="E125" s="127">
        <v>0.1316541262775616</v>
      </c>
      <c r="F125" s="127">
        <v>0.14853255917846803</v>
      </c>
      <c r="H125" s="118" t="s">
        <v>157</v>
      </c>
      <c r="I125" s="3" t="s">
        <v>401</v>
      </c>
      <c r="J125" s="3" t="s">
        <v>431</v>
      </c>
      <c r="K125" s="3" t="s">
        <v>480</v>
      </c>
      <c r="M125" s="118" t="s">
        <v>157</v>
      </c>
      <c r="N125" s="3" t="s">
        <v>401</v>
      </c>
      <c r="O125" s="3" t="s">
        <v>431</v>
      </c>
      <c r="P125" s="3" t="s">
        <v>480</v>
      </c>
    </row>
    <row r="126" spans="3:16" ht="86.4" x14ac:dyDescent="0.3">
      <c r="C126" s="3" t="s">
        <v>160</v>
      </c>
      <c r="D126" s="127">
        <v>0.32079023018655139</v>
      </c>
      <c r="E126" s="127">
        <v>0.11410285970489654</v>
      </c>
      <c r="F126" s="127">
        <v>0.13292606745856955</v>
      </c>
      <c r="H126" s="3" t="s">
        <v>159</v>
      </c>
      <c r="I126" s="119">
        <v>66475</v>
      </c>
      <c r="J126" s="119">
        <v>66475</v>
      </c>
      <c r="K126" s="119">
        <v>66475</v>
      </c>
      <c r="M126" s="3" t="s">
        <v>162</v>
      </c>
      <c r="N126" s="119">
        <v>18120.418976554272</v>
      </c>
      <c r="O126" s="119">
        <v>8751.7080443009072</v>
      </c>
      <c r="P126" s="119">
        <v>9873.7018713886646</v>
      </c>
    </row>
    <row r="127" spans="3:16" ht="115.2" x14ac:dyDescent="0.3">
      <c r="C127" s="3" t="s">
        <v>163</v>
      </c>
      <c r="D127" s="127">
        <v>0.32079023018655139</v>
      </c>
      <c r="E127" s="127">
        <v>0.11410285970489654</v>
      </c>
      <c r="F127" s="127">
        <v>0.13292606745856955</v>
      </c>
      <c r="H127" s="3" t="s">
        <v>161</v>
      </c>
      <c r="I127" s="119">
        <v>25443</v>
      </c>
      <c r="J127" s="119">
        <v>25443</v>
      </c>
      <c r="K127" s="119">
        <v>25443</v>
      </c>
      <c r="M127" s="3" t="s">
        <v>165</v>
      </c>
      <c r="N127" s="119">
        <v>8161.8658266364255</v>
      </c>
      <c r="O127" s="119">
        <v>2903.1190594716827</v>
      </c>
      <c r="P127" s="119">
        <v>3382.0379343483851</v>
      </c>
    </row>
    <row r="128" spans="3:16" ht="57.6" x14ac:dyDescent="0.3">
      <c r="C128" s="3" t="s">
        <v>166</v>
      </c>
      <c r="D128" s="127">
        <v>0.27258998084323838</v>
      </c>
      <c r="E128" s="127">
        <v>0.1316541262775616</v>
      </c>
      <c r="F128" s="127">
        <v>0.14853255917846803</v>
      </c>
      <c r="H128" s="3" t="s">
        <v>164</v>
      </c>
      <c r="I128" s="119">
        <v>7258</v>
      </c>
      <c r="J128" s="119">
        <v>7258</v>
      </c>
      <c r="K128" s="119">
        <v>7258</v>
      </c>
      <c r="M128" s="3" t="s">
        <v>168</v>
      </c>
      <c r="N128" s="119">
        <v>2328.2954906939899</v>
      </c>
      <c r="O128" s="119">
        <v>828.15855573813906</v>
      </c>
      <c r="P128" s="119">
        <v>964.77739761429768</v>
      </c>
    </row>
    <row r="129" spans="3:16" ht="115.2" x14ac:dyDescent="0.3">
      <c r="C129" s="3" t="s">
        <v>169</v>
      </c>
      <c r="D129" s="127">
        <v>0.2979857376086929</v>
      </c>
      <c r="E129" s="127">
        <v>0.12358961335223169</v>
      </c>
      <c r="F129" s="127">
        <v>0.27304847413341743</v>
      </c>
      <c r="H129" s="3" t="s">
        <v>167</v>
      </c>
      <c r="I129" s="119">
        <v>500</v>
      </c>
      <c r="J129" s="119">
        <v>500</v>
      </c>
      <c r="K129" s="119">
        <v>500</v>
      </c>
      <c r="M129" s="3" t="s">
        <v>171</v>
      </c>
      <c r="N129" s="119">
        <v>136.29499042161916</v>
      </c>
      <c r="O129" s="119">
        <v>65.827063138780787</v>
      </c>
      <c r="P129" s="119">
        <v>74.266279589234017</v>
      </c>
    </row>
    <row r="130" spans="3:16" ht="115.2" x14ac:dyDescent="0.3">
      <c r="C130" s="3" t="s">
        <v>172</v>
      </c>
      <c r="D130" s="127">
        <v>0.24801250289948726</v>
      </c>
      <c r="E130" s="127">
        <v>0.15122835101641174</v>
      </c>
      <c r="F130" s="127">
        <v>0.14302182769522542</v>
      </c>
      <c r="H130" s="3" t="s">
        <v>170</v>
      </c>
      <c r="I130" s="119">
        <v>215</v>
      </c>
      <c r="J130" s="119">
        <v>215</v>
      </c>
      <c r="K130" s="119">
        <v>215</v>
      </c>
      <c r="M130" s="3" t="s">
        <v>174</v>
      </c>
      <c r="N130" s="119">
        <v>64.066933585868966</v>
      </c>
      <c r="O130" s="119">
        <v>26.571766870729807</v>
      </c>
      <c r="P130" s="119">
        <v>58.705421938684772</v>
      </c>
    </row>
    <row r="131" spans="3:16" ht="72" x14ac:dyDescent="0.3">
      <c r="C131" s="3" t="s">
        <v>175</v>
      </c>
      <c r="D131" s="156">
        <v>0</v>
      </c>
      <c r="E131" s="156">
        <v>0</v>
      </c>
      <c r="F131" s="156">
        <v>0</v>
      </c>
      <c r="H131" s="3" t="s">
        <v>173</v>
      </c>
      <c r="I131" s="119">
        <v>3928</v>
      </c>
      <c r="J131" s="119">
        <v>3928</v>
      </c>
      <c r="K131" s="119">
        <v>3928</v>
      </c>
      <c r="M131" s="3" t="s">
        <v>177</v>
      </c>
      <c r="N131" s="119">
        <v>974.19311138918579</v>
      </c>
      <c r="O131" s="119">
        <v>594.02496279246532</v>
      </c>
      <c r="P131" s="119">
        <v>561.7897391868454</v>
      </c>
    </row>
    <row r="132" spans="3:16" ht="115.2" x14ac:dyDescent="0.3">
      <c r="C132" s="3" t="s">
        <v>178</v>
      </c>
      <c r="D132" s="127">
        <v>0.24801250289948726</v>
      </c>
      <c r="E132" s="127">
        <v>0.15122835101641174</v>
      </c>
      <c r="F132" s="127">
        <v>0.14302182769522542</v>
      </c>
      <c r="H132" s="3" t="s">
        <v>176</v>
      </c>
      <c r="I132" s="119">
        <v>508</v>
      </c>
      <c r="J132" s="119">
        <v>508</v>
      </c>
      <c r="K132" s="119">
        <v>508</v>
      </c>
      <c r="M132" s="3" t="s">
        <v>180</v>
      </c>
      <c r="N132" s="119">
        <v>0</v>
      </c>
      <c r="O132" s="119">
        <v>0</v>
      </c>
      <c r="P132" s="119">
        <v>0</v>
      </c>
    </row>
    <row r="133" spans="3:16" ht="115.2" x14ac:dyDescent="0.3">
      <c r="C133" s="3" t="s">
        <v>181</v>
      </c>
      <c r="D133" s="127">
        <v>0.38249436801375497</v>
      </c>
      <c r="E133" s="127">
        <v>7.5634321343892211E-2</v>
      </c>
      <c r="F133" s="127">
        <v>6.7690420874601434E-2</v>
      </c>
      <c r="H133" s="3" t="s">
        <v>179</v>
      </c>
      <c r="I133" s="119">
        <v>5</v>
      </c>
      <c r="J133" s="119">
        <v>5</v>
      </c>
      <c r="K133" s="119">
        <v>5</v>
      </c>
      <c r="M133" s="3" t="s">
        <v>183</v>
      </c>
      <c r="N133" s="119">
        <v>1.2400625144974358</v>
      </c>
      <c r="O133" s="119">
        <v>0.75614175508205883</v>
      </c>
      <c r="P133" s="119">
        <v>0.71510913847612712</v>
      </c>
    </row>
    <row r="134" spans="3:16" ht="115.2" x14ac:dyDescent="0.3">
      <c r="C134" s="3" t="s">
        <v>184</v>
      </c>
      <c r="D134" s="127">
        <v>0.4230579040197251</v>
      </c>
      <c r="E134" s="127">
        <v>7.8798083405934916E-2</v>
      </c>
      <c r="F134" s="127">
        <v>4.1196677227137574E-2</v>
      </c>
      <c r="H134" s="3" t="s">
        <v>182</v>
      </c>
      <c r="I134" s="119">
        <v>1786</v>
      </c>
      <c r="J134" s="119">
        <v>1786</v>
      </c>
      <c r="K134" s="119">
        <v>1786</v>
      </c>
      <c r="M134" s="3" t="s">
        <v>186</v>
      </c>
      <c r="N134" s="119">
        <v>683.13494127256627</v>
      </c>
      <c r="O134" s="119">
        <v>135.0828979201915</v>
      </c>
      <c r="P134" s="119">
        <v>120.89509168203817</v>
      </c>
    </row>
    <row r="135" spans="3:16" ht="100.8" x14ac:dyDescent="0.3">
      <c r="H135" s="3" t="s">
        <v>185</v>
      </c>
      <c r="I135" s="119">
        <v>528</v>
      </c>
      <c r="J135" s="119">
        <v>528</v>
      </c>
      <c r="K135" s="119">
        <v>528</v>
      </c>
      <c r="M135" s="3" t="s">
        <v>187</v>
      </c>
      <c r="N135" s="119">
        <v>223.37457332241485</v>
      </c>
      <c r="O135" s="119">
        <v>41.605388038333636</v>
      </c>
      <c r="P135" s="119">
        <v>21.751845575928648</v>
      </c>
    </row>
  </sheetData>
  <pageMargins left="0.7" right="0.7" top="0.75" bottom="0.75" header="0.3" footer="0.3"/>
  <pageSetup orientation="portrait" r:id="rId7"/>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4ED8557-E324-4DF0-A537-CDE633F58F69}">
  <sheetPr filterMode="1"/>
  <dimension ref="A1:BF69"/>
  <sheetViews>
    <sheetView showGridLines="0" topLeftCell="A47" zoomScale="80" zoomScaleNormal="80" workbookViewId="0">
      <selection activeCell="E63" sqref="E63"/>
    </sheetView>
  </sheetViews>
  <sheetFormatPr baseColWidth="10" defaultColWidth="9.109375" defaultRowHeight="14.4" x14ac:dyDescent="0.3"/>
  <cols>
    <col min="1" max="1" width="14.5546875" customWidth="1"/>
    <col min="2" max="2" width="13.6640625" style="77" customWidth="1"/>
    <col min="3" max="3" width="13.44140625" style="77" customWidth="1"/>
    <col min="4" max="4" width="19.33203125" style="77" customWidth="1"/>
    <col min="5" max="5" width="88.6640625" style="77" customWidth="1"/>
    <col min="6" max="6" width="24.88671875" customWidth="1"/>
    <col min="7" max="7" width="21.5546875" customWidth="1"/>
    <col min="8" max="9" width="22" hidden="1" customWidth="1"/>
    <col min="10" max="10" width="23.6640625" hidden="1" customWidth="1"/>
    <col min="11" max="11" width="28.33203125" hidden="1" customWidth="1"/>
    <col min="12" max="12" width="30.109375" hidden="1" customWidth="1"/>
    <col min="13" max="13" width="29.88671875" hidden="1" customWidth="1"/>
    <col min="14" max="14" width="27.33203125" hidden="1" customWidth="1"/>
    <col min="15" max="15" width="27" hidden="1" customWidth="1"/>
    <col min="16" max="16" width="26.5546875" hidden="1" customWidth="1"/>
    <col min="17" max="17" width="26.33203125" hidden="1" customWidth="1"/>
    <col min="18" max="18" width="32.88671875" customWidth="1"/>
    <col min="19" max="19" width="28.88671875" customWidth="1"/>
    <col min="20" max="21" width="28.33203125" customWidth="1"/>
    <col min="22" max="22" width="31" customWidth="1"/>
    <col min="23" max="23" width="34.44140625" customWidth="1"/>
    <col min="24" max="24" width="41.6640625" customWidth="1"/>
    <col min="25" max="25" width="46.5546875" customWidth="1"/>
    <col min="26" max="26" width="32.109375" customWidth="1"/>
    <col min="27" max="37" width="25.33203125" customWidth="1"/>
    <col min="38" max="38" width="33.109375" customWidth="1"/>
    <col min="39" max="39" width="32.44140625" customWidth="1"/>
    <col min="40" max="40" width="39.6640625" customWidth="1"/>
    <col min="41" max="41" width="37.6640625" customWidth="1"/>
    <col min="42" max="42" width="34.109375" customWidth="1"/>
    <col min="43" max="43" width="34" customWidth="1"/>
    <col min="44" max="44" width="33.33203125" customWidth="1"/>
    <col min="45" max="45" width="34.33203125" customWidth="1"/>
    <col min="46" max="46" width="30.109375" customWidth="1"/>
    <col min="47" max="47" width="30.5546875" customWidth="1"/>
    <col min="48" max="48" width="33.44140625" customWidth="1"/>
    <col min="49" max="49" width="30.109375" customWidth="1"/>
    <col min="50" max="50" width="29.6640625" customWidth="1"/>
    <col min="51" max="51" width="27.5546875" customWidth="1"/>
    <col min="52" max="52" width="23.5546875" customWidth="1"/>
    <col min="53" max="53" width="26.5546875" customWidth="1"/>
    <col min="54" max="54" width="28.6640625" customWidth="1"/>
    <col min="55" max="55" width="28.88671875" customWidth="1"/>
    <col min="56" max="56" width="26.6640625" customWidth="1"/>
    <col min="57" max="57" width="27.6640625" customWidth="1"/>
    <col min="58" max="58" width="28.5546875" customWidth="1"/>
  </cols>
  <sheetData>
    <row r="1" spans="1:58" ht="14.4" customHeight="1" x14ac:dyDescent="0.3">
      <c r="H1" s="309" t="s">
        <v>188</v>
      </c>
      <c r="I1" s="309"/>
      <c r="J1" s="309"/>
      <c r="K1" s="309"/>
      <c r="L1" s="309"/>
      <c r="M1" s="309"/>
      <c r="N1" s="309"/>
      <c r="O1" s="309"/>
      <c r="P1" s="309"/>
      <c r="Q1" s="309"/>
      <c r="R1" s="310" t="s">
        <v>189</v>
      </c>
      <c r="S1" s="310"/>
      <c r="T1" s="310"/>
      <c r="U1" s="310"/>
      <c r="V1" s="310"/>
      <c r="W1" s="310"/>
      <c r="X1" s="310"/>
      <c r="Y1" s="310"/>
      <c r="Z1" s="310"/>
      <c r="AA1" s="310"/>
      <c r="AB1" s="315" t="s">
        <v>190</v>
      </c>
      <c r="AC1" s="316"/>
      <c r="AD1" s="316"/>
      <c r="AE1" s="316"/>
      <c r="AF1" s="316"/>
      <c r="AG1" s="316"/>
      <c r="AH1" s="316"/>
      <c r="AI1" s="316"/>
      <c r="AJ1" s="316"/>
      <c r="AK1" s="317"/>
      <c r="AL1" s="311" t="s">
        <v>191</v>
      </c>
      <c r="AM1" s="311"/>
      <c r="AN1" s="311"/>
      <c r="AO1" s="311"/>
      <c r="AP1" s="311"/>
      <c r="AQ1" s="311"/>
      <c r="AR1" s="311"/>
      <c r="AS1" s="311"/>
      <c r="AT1" s="311"/>
      <c r="AU1" s="311"/>
      <c r="AV1" s="312" t="s">
        <v>192</v>
      </c>
      <c r="AW1" s="312"/>
      <c r="AX1" s="312"/>
      <c r="AY1" s="312"/>
      <c r="AZ1" s="312"/>
      <c r="BA1" s="312"/>
      <c r="BB1" s="312"/>
      <c r="BC1" s="312"/>
      <c r="BD1" s="312"/>
      <c r="BE1" s="313"/>
      <c r="BF1" s="314"/>
    </row>
    <row r="2" spans="1:58" ht="24" x14ac:dyDescent="0.3">
      <c r="H2" s="79" t="s">
        <v>87</v>
      </c>
      <c r="I2" s="79" t="s">
        <v>89</v>
      </c>
      <c r="J2" s="79" t="s">
        <v>91</v>
      </c>
      <c r="K2" s="79" t="s">
        <v>92</v>
      </c>
      <c r="L2" s="79" t="s">
        <v>93</v>
      </c>
      <c r="M2" s="79" t="s">
        <v>94</v>
      </c>
      <c r="N2" s="79" t="s">
        <v>96</v>
      </c>
      <c r="O2" s="79" t="s">
        <v>97</v>
      </c>
      <c r="P2" s="79" t="s">
        <v>98</v>
      </c>
      <c r="Q2" s="79" t="s">
        <v>100</v>
      </c>
      <c r="R2" s="80" t="s">
        <v>87</v>
      </c>
      <c r="S2" s="80" t="s">
        <v>89</v>
      </c>
      <c r="T2" s="80" t="s">
        <v>91</v>
      </c>
      <c r="U2" s="80" t="s">
        <v>92</v>
      </c>
      <c r="V2" s="80" t="s">
        <v>93</v>
      </c>
      <c r="W2" s="80" t="s">
        <v>94</v>
      </c>
      <c r="X2" s="80" t="s">
        <v>96</v>
      </c>
      <c r="Y2" s="80" t="s">
        <v>97</v>
      </c>
      <c r="Z2" s="80" t="s">
        <v>98</v>
      </c>
      <c r="AA2" s="80" t="s">
        <v>100</v>
      </c>
      <c r="AB2" s="98" t="s">
        <v>87</v>
      </c>
      <c r="AC2" s="98" t="s">
        <v>89</v>
      </c>
      <c r="AD2" s="98" t="s">
        <v>91</v>
      </c>
      <c r="AE2" s="98" t="s">
        <v>92</v>
      </c>
      <c r="AF2" s="98" t="s">
        <v>93</v>
      </c>
      <c r="AG2" s="98" t="s">
        <v>94</v>
      </c>
      <c r="AH2" s="98" t="s">
        <v>96</v>
      </c>
      <c r="AI2" s="98" t="s">
        <v>97</v>
      </c>
      <c r="AJ2" s="98" t="s">
        <v>98</v>
      </c>
      <c r="AK2" s="98" t="s">
        <v>100</v>
      </c>
      <c r="AL2" s="81" t="s">
        <v>87</v>
      </c>
      <c r="AM2" s="81" t="s">
        <v>89</v>
      </c>
      <c r="AN2" s="81" t="s">
        <v>91</v>
      </c>
      <c r="AO2" s="81" t="s">
        <v>92</v>
      </c>
      <c r="AP2" s="81" t="s">
        <v>93</v>
      </c>
      <c r="AQ2" s="81" t="s">
        <v>94</v>
      </c>
      <c r="AR2" s="81" t="s">
        <v>96</v>
      </c>
      <c r="AS2" s="81" t="s">
        <v>97</v>
      </c>
      <c r="AT2" s="81" t="s">
        <v>98</v>
      </c>
      <c r="AU2" s="81" t="s">
        <v>100</v>
      </c>
      <c r="AV2" s="82" t="s">
        <v>87</v>
      </c>
      <c r="AW2" s="82" t="s">
        <v>89</v>
      </c>
      <c r="AX2" s="82" t="s">
        <v>91</v>
      </c>
      <c r="AY2" s="82" t="s">
        <v>92</v>
      </c>
      <c r="AZ2" s="82" t="s">
        <v>93</v>
      </c>
      <c r="BA2" s="82" t="s">
        <v>94</v>
      </c>
      <c r="BB2" s="82" t="s">
        <v>96</v>
      </c>
      <c r="BC2" s="82" t="s">
        <v>97</v>
      </c>
      <c r="BD2" s="82" t="s">
        <v>98</v>
      </c>
      <c r="BE2" s="83" t="s">
        <v>100</v>
      </c>
      <c r="BF2" s="314"/>
    </row>
    <row r="3" spans="1:58" ht="27" customHeight="1" x14ac:dyDescent="0.3">
      <c r="H3" s="79" t="s">
        <v>117</v>
      </c>
      <c r="I3" s="79" t="s">
        <v>118</v>
      </c>
      <c r="J3" s="79" t="s">
        <v>118</v>
      </c>
      <c r="K3" s="79" t="s">
        <v>117</v>
      </c>
      <c r="L3" s="79" t="s">
        <v>119</v>
      </c>
      <c r="M3" s="79" t="s">
        <v>120</v>
      </c>
      <c r="N3" s="79" t="s">
        <v>121</v>
      </c>
      <c r="O3" s="79" t="s">
        <v>120</v>
      </c>
      <c r="P3" s="79" t="s">
        <v>122</v>
      </c>
      <c r="Q3" s="79" t="s">
        <v>123</v>
      </c>
      <c r="R3" s="84" t="s">
        <v>117</v>
      </c>
      <c r="S3" s="84" t="s">
        <v>118</v>
      </c>
      <c r="T3" s="84" t="s">
        <v>118</v>
      </c>
      <c r="U3" s="84" t="s">
        <v>117</v>
      </c>
      <c r="V3" s="84" t="s">
        <v>119</v>
      </c>
      <c r="W3" s="84" t="s">
        <v>120</v>
      </c>
      <c r="X3" s="84" t="s">
        <v>121</v>
      </c>
      <c r="Y3" s="84" t="s">
        <v>120</v>
      </c>
      <c r="Z3" s="84" t="s">
        <v>122</v>
      </c>
      <c r="AA3" s="84" t="s">
        <v>123</v>
      </c>
      <c r="AB3" s="99" t="s">
        <v>117</v>
      </c>
      <c r="AC3" s="99" t="s">
        <v>118</v>
      </c>
      <c r="AD3" s="99" t="s">
        <v>118</v>
      </c>
      <c r="AE3" s="99" t="s">
        <v>117</v>
      </c>
      <c r="AF3" s="99" t="s">
        <v>119</v>
      </c>
      <c r="AG3" s="99" t="s">
        <v>120</v>
      </c>
      <c r="AH3" s="99" t="s">
        <v>121</v>
      </c>
      <c r="AI3" s="99" t="s">
        <v>120</v>
      </c>
      <c r="AJ3" s="99" t="s">
        <v>122</v>
      </c>
      <c r="AK3" s="99" t="s">
        <v>123</v>
      </c>
      <c r="AL3" s="85" t="s">
        <v>117</v>
      </c>
      <c r="AM3" s="85" t="s">
        <v>118</v>
      </c>
      <c r="AN3" s="85" t="s">
        <v>118</v>
      </c>
      <c r="AO3" s="85" t="s">
        <v>117</v>
      </c>
      <c r="AP3" s="85" t="s">
        <v>119</v>
      </c>
      <c r="AQ3" s="85" t="s">
        <v>120</v>
      </c>
      <c r="AR3" s="85" t="s">
        <v>121</v>
      </c>
      <c r="AS3" s="85" t="s">
        <v>120</v>
      </c>
      <c r="AT3" s="85" t="s">
        <v>122</v>
      </c>
      <c r="AU3" s="85" t="s">
        <v>123</v>
      </c>
      <c r="AV3" s="86" t="s">
        <v>117</v>
      </c>
      <c r="AW3" s="86" t="s">
        <v>118</v>
      </c>
      <c r="AX3" s="86" t="s">
        <v>118</v>
      </c>
      <c r="AY3" s="86" t="s">
        <v>117</v>
      </c>
      <c r="AZ3" s="86" t="s">
        <v>119</v>
      </c>
      <c r="BA3" s="86" t="s">
        <v>120</v>
      </c>
      <c r="BB3" s="86" t="s">
        <v>121</v>
      </c>
      <c r="BC3" s="86" t="s">
        <v>120</v>
      </c>
      <c r="BD3" s="86" t="s">
        <v>122</v>
      </c>
      <c r="BE3" s="87" t="s">
        <v>123</v>
      </c>
      <c r="BF3" s="314"/>
    </row>
    <row r="4" spans="1:58" s="6" customFormat="1" ht="28.8" x14ac:dyDescent="0.3">
      <c r="A4" s="6" t="s">
        <v>481</v>
      </c>
      <c r="B4" s="94" t="s">
        <v>54</v>
      </c>
      <c r="C4" s="94" t="s">
        <v>51</v>
      </c>
      <c r="D4" s="94" t="s">
        <v>52</v>
      </c>
      <c r="E4" s="94" t="s">
        <v>125</v>
      </c>
      <c r="F4" s="5" t="s">
        <v>193</v>
      </c>
      <c r="G4" s="5" t="s">
        <v>194</v>
      </c>
      <c r="H4" s="88" t="s">
        <v>195</v>
      </c>
      <c r="I4" s="79" t="s">
        <v>196</v>
      </c>
      <c r="J4" s="79" t="s">
        <v>197</v>
      </c>
      <c r="K4" s="79" t="s">
        <v>198</v>
      </c>
      <c r="L4" s="79" t="s">
        <v>199</v>
      </c>
      <c r="M4" s="79" t="s">
        <v>200</v>
      </c>
      <c r="N4" s="79" t="s">
        <v>201</v>
      </c>
      <c r="O4" s="79" t="s">
        <v>97</v>
      </c>
      <c r="P4" s="79" t="s">
        <v>98</v>
      </c>
      <c r="Q4" s="79" t="s">
        <v>100</v>
      </c>
      <c r="R4" s="80" t="s">
        <v>202</v>
      </c>
      <c r="S4" s="80" t="s">
        <v>203</v>
      </c>
      <c r="T4" s="80" t="s">
        <v>204</v>
      </c>
      <c r="U4" s="80" t="s">
        <v>205</v>
      </c>
      <c r="V4" s="80" t="s">
        <v>206</v>
      </c>
      <c r="W4" s="80" t="s">
        <v>207</v>
      </c>
      <c r="X4" s="80" t="s">
        <v>208</v>
      </c>
      <c r="Y4" s="80" t="s">
        <v>209</v>
      </c>
      <c r="Z4" s="80" t="s">
        <v>210</v>
      </c>
      <c r="AA4" s="80" t="s">
        <v>211</v>
      </c>
      <c r="AB4" s="98" t="s">
        <v>212</v>
      </c>
      <c r="AC4" s="98" t="s">
        <v>213</v>
      </c>
      <c r="AD4" s="98" t="s">
        <v>214</v>
      </c>
      <c r="AE4" s="98" t="s">
        <v>215</v>
      </c>
      <c r="AF4" s="98" t="s">
        <v>216</v>
      </c>
      <c r="AG4" s="98" t="s">
        <v>217</v>
      </c>
      <c r="AH4" s="98" t="s">
        <v>218</v>
      </c>
      <c r="AI4" s="98" t="s">
        <v>219</v>
      </c>
      <c r="AJ4" s="98" t="s">
        <v>220</v>
      </c>
      <c r="AK4" s="98" t="s">
        <v>221</v>
      </c>
      <c r="AL4" s="81" t="s">
        <v>222</v>
      </c>
      <c r="AM4" s="81" t="s">
        <v>223</v>
      </c>
      <c r="AN4" s="81" t="s">
        <v>224</v>
      </c>
      <c r="AO4" s="81" t="s">
        <v>225</v>
      </c>
      <c r="AP4" s="81" t="s">
        <v>226</v>
      </c>
      <c r="AQ4" s="81" t="s">
        <v>227</v>
      </c>
      <c r="AR4" s="81" t="s">
        <v>228</v>
      </c>
      <c r="AS4" s="81" t="s">
        <v>229</v>
      </c>
      <c r="AT4" s="81" t="s">
        <v>230</v>
      </c>
      <c r="AU4" s="81" t="s">
        <v>231</v>
      </c>
      <c r="AV4" s="82" t="s">
        <v>232</v>
      </c>
      <c r="AW4" s="82" t="s">
        <v>233</v>
      </c>
      <c r="AX4" s="82" t="s">
        <v>234</v>
      </c>
      <c r="AY4" s="82" t="s">
        <v>235</v>
      </c>
      <c r="AZ4" s="82" t="s">
        <v>236</v>
      </c>
      <c r="BA4" s="82" t="s">
        <v>237</v>
      </c>
      <c r="BB4" s="82" t="s">
        <v>238</v>
      </c>
      <c r="BC4" s="82" t="s">
        <v>239</v>
      </c>
      <c r="BD4" s="82" t="s">
        <v>240</v>
      </c>
      <c r="BE4" s="83" t="s">
        <v>241</v>
      </c>
      <c r="BF4" s="78" t="s">
        <v>242</v>
      </c>
    </row>
    <row r="5" spans="1:58" s="6" customFormat="1" x14ac:dyDescent="0.3">
      <c r="A5" s="93" t="s">
        <v>401</v>
      </c>
      <c r="C5" s="94"/>
      <c r="D5" s="94"/>
      <c r="E5" s="94"/>
      <c r="F5" s="5"/>
      <c r="G5" s="5"/>
      <c r="H5" s="88"/>
      <c r="I5" s="79"/>
      <c r="J5" s="79"/>
      <c r="K5" s="79"/>
      <c r="L5" s="79"/>
      <c r="M5" s="79"/>
      <c r="N5" s="79"/>
      <c r="O5" s="79"/>
      <c r="P5" s="79"/>
      <c r="Q5" s="79"/>
      <c r="R5" s="80"/>
      <c r="S5" s="80"/>
      <c r="T5" s="80"/>
      <c r="U5" s="80"/>
      <c r="V5" s="80"/>
      <c r="W5" s="80"/>
      <c r="X5" s="80"/>
      <c r="Y5" s="80"/>
      <c r="Z5" s="80"/>
      <c r="AA5" s="80"/>
      <c r="AB5" s="98"/>
      <c r="AC5" s="98"/>
      <c r="AD5" s="98"/>
      <c r="AE5" s="98"/>
      <c r="AF5" s="98"/>
      <c r="AG5" s="98"/>
      <c r="AH5" s="98"/>
      <c r="AI5" s="98"/>
      <c r="AJ5" s="98"/>
      <c r="AK5" s="98"/>
      <c r="AL5" s="81"/>
      <c r="AM5" s="81"/>
      <c r="AN5" s="81"/>
      <c r="AO5" s="81"/>
      <c r="AP5" s="81"/>
      <c r="AQ5" s="81"/>
      <c r="AR5" s="81"/>
      <c r="AS5" s="81"/>
      <c r="AT5" s="81"/>
      <c r="AU5" s="81"/>
      <c r="AV5" s="82"/>
      <c r="AW5" s="82"/>
      <c r="AX5" s="82"/>
      <c r="AY5" s="82"/>
      <c r="AZ5" s="82"/>
      <c r="BA5" s="82"/>
      <c r="BB5" s="82"/>
      <c r="BC5" s="82"/>
      <c r="BD5" s="82"/>
      <c r="BE5" s="83"/>
      <c r="BF5" s="78"/>
    </row>
    <row r="6" spans="1:58" s="6" customFormat="1" ht="26.4" x14ac:dyDescent="0.3">
      <c r="A6" s="93" t="s">
        <v>401</v>
      </c>
      <c r="B6" s="91" t="s">
        <v>402</v>
      </c>
      <c r="C6" s="226"/>
      <c r="D6" s="226"/>
      <c r="E6" s="226" t="s">
        <v>243</v>
      </c>
      <c r="F6" s="90"/>
      <c r="G6" s="90"/>
      <c r="H6" s="188"/>
      <c r="I6" s="188"/>
      <c r="J6" s="188"/>
      <c r="K6" s="188"/>
      <c r="L6" s="188"/>
      <c r="M6" s="188"/>
      <c r="N6" s="188"/>
      <c r="O6" s="188"/>
      <c r="P6" s="188"/>
      <c r="Q6" s="188"/>
      <c r="R6" s="190"/>
      <c r="S6" s="190"/>
      <c r="T6" s="190"/>
      <c r="U6" s="190"/>
      <c r="V6" s="190"/>
      <c r="W6" s="190"/>
      <c r="X6" s="190"/>
      <c r="Y6" s="190"/>
      <c r="Z6" s="190"/>
      <c r="AA6" s="190"/>
      <c r="AB6" s="192"/>
      <c r="AC6" s="192"/>
      <c r="AD6" s="192"/>
      <c r="AE6" s="192"/>
      <c r="AF6" s="192"/>
      <c r="AG6" s="192"/>
      <c r="AH6" s="192"/>
      <c r="AI6" s="192"/>
      <c r="AJ6" s="192"/>
      <c r="AK6" s="192"/>
      <c r="AL6" s="194"/>
      <c r="AM6" s="194"/>
      <c r="AN6" s="194"/>
      <c r="AO6" s="194"/>
      <c r="AP6" s="194"/>
      <c r="AQ6" s="194"/>
      <c r="AR6" s="194"/>
      <c r="AS6" s="194"/>
      <c r="AT6" s="194"/>
      <c r="AU6" s="194"/>
      <c r="AV6" s="196"/>
      <c r="AW6" s="196"/>
      <c r="AX6" s="196"/>
      <c r="AY6" s="196"/>
      <c r="AZ6" s="196"/>
      <c r="BA6" s="196"/>
      <c r="BB6" s="196"/>
      <c r="BC6" s="196"/>
      <c r="BD6" s="196"/>
      <c r="BE6" s="196"/>
      <c r="BF6" s="187"/>
    </row>
    <row r="7" spans="1:58" s="6" customFormat="1" x14ac:dyDescent="0.3">
      <c r="A7" s="93" t="s">
        <v>401</v>
      </c>
      <c r="B7" s="91" t="s">
        <v>402</v>
      </c>
      <c r="C7" s="227" t="s">
        <v>403</v>
      </c>
      <c r="D7" s="227"/>
      <c r="E7" s="227" t="s">
        <v>244</v>
      </c>
      <c r="F7" s="89" t="s">
        <v>47</v>
      </c>
      <c r="G7" s="89" t="s">
        <v>106</v>
      </c>
      <c r="H7" s="189">
        <f>HLOOKUP(H$2,'Baseline FRL'!$B$23:$O$28,5,FALSE)</f>
        <v>66475</v>
      </c>
      <c r="I7" s="189">
        <f>HLOOKUP(I$2,'Baseline FRL'!$B$23:$O$28,5,FALSE)</f>
        <v>25443</v>
      </c>
      <c r="J7" s="189">
        <f>HLOOKUP(J$2,'Baseline FRL'!$B$23:$O$28,5,FALSE)</f>
        <v>7258</v>
      </c>
      <c r="K7" s="189">
        <f>HLOOKUP(K$2,'Baseline FRL'!$B$23:$O$28,5,FALSE)</f>
        <v>500</v>
      </c>
      <c r="L7" s="189">
        <f>HLOOKUP(L$2,'Baseline FRL'!$B$23:$O$28,5,FALSE)</f>
        <v>215</v>
      </c>
      <c r="M7" s="189">
        <f>HLOOKUP(M$2,'Baseline FRL'!$B$23:$O$28,5,FALSE)</f>
        <v>3928</v>
      </c>
      <c r="N7" s="189">
        <f>HLOOKUP(N$2,'Baseline FRL'!$B$23:$O$28,5,FALSE)</f>
        <v>508</v>
      </c>
      <c r="O7" s="189">
        <f>HLOOKUP(O$2,'Baseline FRL'!$B$23:$O$28,5,FALSE)</f>
        <v>5</v>
      </c>
      <c r="P7" s="189">
        <f>HLOOKUP(P$2,'Baseline FRL'!$B$23:$O$28,5,FALSE)</f>
        <v>1786</v>
      </c>
      <c r="Q7" s="189">
        <f>HLOOKUP(Q$2,'Baseline FRL'!$B$23:$O$28,5,FALSE)</f>
        <v>528</v>
      </c>
      <c r="R7" s="191"/>
      <c r="S7" s="191"/>
      <c r="T7" s="191"/>
      <c r="U7" s="191"/>
      <c r="V7" s="191"/>
      <c r="W7" s="191"/>
      <c r="X7" s="191"/>
      <c r="Y7" s="191"/>
      <c r="Z7" s="191"/>
      <c r="AA7" s="191"/>
      <c r="AB7" s="193"/>
      <c r="AC7" s="193"/>
      <c r="AD7" s="193"/>
      <c r="AE7" s="193"/>
      <c r="AF7" s="193"/>
      <c r="AG7" s="193"/>
      <c r="AH7" s="193"/>
      <c r="AI7" s="193"/>
      <c r="AJ7" s="193"/>
      <c r="AK7" s="193"/>
      <c r="AL7" s="194"/>
      <c r="AM7" s="194"/>
      <c r="AN7" s="194"/>
      <c r="AO7" s="194"/>
      <c r="AP7" s="194"/>
      <c r="AQ7" s="194"/>
      <c r="AR7" s="194"/>
      <c r="AS7" s="194"/>
      <c r="AT7" s="194"/>
      <c r="AU7" s="194"/>
      <c r="AV7" s="196"/>
      <c r="AW7" s="196"/>
      <c r="AX7" s="196"/>
      <c r="AY7" s="196"/>
      <c r="AZ7" s="196"/>
      <c r="BA7" s="196"/>
      <c r="BB7" s="196"/>
      <c r="BC7" s="196"/>
      <c r="BD7" s="196"/>
      <c r="BE7" s="196"/>
      <c r="BF7" s="187"/>
    </row>
    <row r="8" spans="1:58" x14ac:dyDescent="0.3">
      <c r="A8" s="93" t="s">
        <v>401</v>
      </c>
      <c r="B8" s="92" t="s">
        <v>402</v>
      </c>
      <c r="C8" s="228" t="s">
        <v>403</v>
      </c>
      <c r="D8" s="229" t="s">
        <v>404</v>
      </c>
      <c r="E8" s="229" t="s">
        <v>126</v>
      </c>
      <c r="F8" s="93" t="s">
        <v>47</v>
      </c>
      <c r="G8" s="93" t="s">
        <v>106</v>
      </c>
      <c r="H8" s="189">
        <f>HLOOKUP(H$2,'Baseline FRL'!$B$23:$O$28,5,FALSE)</f>
        <v>66475</v>
      </c>
      <c r="I8" s="189">
        <f>HLOOKUP(I$2,'Baseline FRL'!$B$23:$O$28,5,FALSE)</f>
        <v>25443</v>
      </c>
      <c r="J8" s="189">
        <f>HLOOKUP(J$2,'Baseline FRL'!$B$23:$O$28,5,FALSE)</f>
        <v>7258</v>
      </c>
      <c r="K8" s="189">
        <f>HLOOKUP(K$2,'Baseline FRL'!$B$23:$O$28,5,FALSE)</f>
        <v>500</v>
      </c>
      <c r="L8" s="189">
        <f>HLOOKUP(L$2,'Baseline FRL'!$B$23:$O$28,5,FALSE)</f>
        <v>215</v>
      </c>
      <c r="M8" s="189">
        <f>HLOOKUP(M$2,'Baseline FRL'!$B$23:$O$28,5,FALSE)</f>
        <v>3928</v>
      </c>
      <c r="N8" s="189">
        <f>HLOOKUP(N$2,'Baseline FRL'!$B$23:$O$28,5,FALSE)</f>
        <v>508</v>
      </c>
      <c r="O8" s="189">
        <f>HLOOKUP(O$2,'Baseline FRL'!$B$23:$O$28,5,FALSE)</f>
        <v>5</v>
      </c>
      <c r="P8" s="189">
        <f>HLOOKUP(P$2,'Baseline FRL'!$B$23:$O$28,5,FALSE)</f>
        <v>1786</v>
      </c>
      <c r="Q8" s="189">
        <f>HLOOKUP(Q$2,'Baseline FRL'!$B$23:$O$28,5,FALSE)</f>
        <v>528</v>
      </c>
      <c r="R8" s="191">
        <f>HLOOKUP(R$3,'Implementing Areas'!$B$53:$K$64,2,FALSE)</f>
        <v>1</v>
      </c>
      <c r="S8" s="191">
        <f>HLOOKUP(S$3,'Implementing Areas'!$B$53:$K$64,2,FALSE)</f>
        <v>1</v>
      </c>
      <c r="T8" s="191">
        <f>HLOOKUP(T$3,'Implementing Areas'!$B$53:$K$64,2,FALSE)</f>
        <v>1</v>
      </c>
      <c r="U8" s="191">
        <f>HLOOKUP(U$3,'Implementing Areas'!$B$53:$K$64,2,FALSE)</f>
        <v>1</v>
      </c>
      <c r="V8" s="191">
        <f>HLOOKUP(V$3,'Implementing Areas'!$B$53:$K$64,2,FALSE)</f>
        <v>1</v>
      </c>
      <c r="W8" s="191">
        <f>HLOOKUP(W$3,'Implementing Areas'!$B$53:$K$64,2,FALSE)</f>
        <v>1</v>
      </c>
      <c r="X8" s="191">
        <f>HLOOKUP(X$3,'Implementing Areas'!$B$53:$K$64,2,FALSE)</f>
        <v>0</v>
      </c>
      <c r="Y8" s="191">
        <f>HLOOKUP(Y$3,'Implementing Areas'!$B$53:$K$64,2,FALSE)</f>
        <v>1</v>
      </c>
      <c r="Z8" s="191">
        <f>HLOOKUP(Z$3,'Implementing Areas'!$B$53:$K$64,2,FALSE)</f>
        <v>1</v>
      </c>
      <c r="AA8" s="191">
        <f>HLOOKUP(AA$3,'Implementing Areas'!$B$53:$K$64,2,FALSE)</f>
        <v>1</v>
      </c>
      <c r="AB8" s="193">
        <f>(VLOOKUP($F8,'ER Target'!$C$3:$D$10,2,FALSE))*'Program Activity-Rev'!R8*'ER Target'!$D$12</f>
        <v>0</v>
      </c>
      <c r="AC8" s="193">
        <f>(VLOOKUP($F8,'ER Target'!$C$3:$D$10,2,FALSE))*'Program Activity-Rev'!S8*'ER Target'!$D$12</f>
        <v>0</v>
      </c>
      <c r="AD8" s="193">
        <f>(VLOOKUP($F8,'ER Target'!$C$3:$D$10,2,FALSE))*'Program Activity-Rev'!T8*'ER Target'!$D$12</f>
        <v>0</v>
      </c>
      <c r="AE8" s="193">
        <f>(VLOOKUP($F8,'ER Target'!$C$3:$D$10,2,FALSE))*'Program Activity-Rev'!U8*'ER Target'!$D$12</f>
        <v>0</v>
      </c>
      <c r="AF8" s="193">
        <f>(VLOOKUP($F8,'ER Target'!$C$3:$D$10,2,FALSE))*'Program Activity-Rev'!V8*'ER Target'!$D$12</f>
        <v>0</v>
      </c>
      <c r="AG8" s="193">
        <f>(VLOOKUP($F8,'ER Target'!$C$3:$D$10,2,FALSE))*'Program Activity-Rev'!W8*'ER Target'!$D$12</f>
        <v>0</v>
      </c>
      <c r="AH8" s="193">
        <f>(VLOOKUP($F8,'ER Target'!$C$3:$D$10,2,FALSE))*'Program Activity-Rev'!X8*'ER Target'!$D$12</f>
        <v>0</v>
      </c>
      <c r="AI8" s="193">
        <f>(VLOOKUP($F8,'ER Target'!$C$3:$D$10,2,FALSE))*'Program Activity-Rev'!Y8*'ER Target'!$D$12</f>
        <v>0</v>
      </c>
      <c r="AJ8" s="193">
        <f>(VLOOKUP($F8,'ER Target'!$C$3:$D$10,2,FALSE))*'Program Activity-Rev'!Z8*'ER Target'!$D$12</f>
        <v>0</v>
      </c>
      <c r="AK8" s="193">
        <f>(VLOOKUP($F8,'ER Target'!$C$3:$D$10,2,FALSE))*'Program Activity-Rev'!AA8*'ER Target'!$D$12</f>
        <v>0</v>
      </c>
      <c r="AL8" s="195">
        <f>H8*AB8</f>
        <v>0</v>
      </c>
      <c r="AM8" s="195">
        <f t="shared" ref="AM8:AU24" si="0">I8*AC8</f>
        <v>0</v>
      </c>
      <c r="AN8" s="195">
        <f t="shared" si="0"/>
        <v>0</v>
      </c>
      <c r="AO8" s="195">
        <f t="shared" si="0"/>
        <v>0</v>
      </c>
      <c r="AP8" s="195">
        <f t="shared" si="0"/>
        <v>0</v>
      </c>
      <c r="AQ8" s="195">
        <f t="shared" si="0"/>
        <v>0</v>
      </c>
      <c r="AR8" s="195">
        <f t="shared" si="0"/>
        <v>0</v>
      </c>
      <c r="AS8" s="195">
        <f t="shared" si="0"/>
        <v>0</v>
      </c>
      <c r="AT8" s="195">
        <f t="shared" si="0"/>
        <v>0</v>
      </c>
      <c r="AU8" s="195">
        <f t="shared" si="0"/>
        <v>0</v>
      </c>
      <c r="AV8" s="197">
        <f>HLOOKUP(AV$2,'Baseline FRL'!$B$23:$O$28,6,FALSE)*'Program Activity-Rev'!AL8</f>
        <v>0</v>
      </c>
      <c r="AW8" s="197">
        <f>HLOOKUP(AW$2,'Baseline FRL'!$B$23:$O$28,6,FALSE)*'Program Activity-Rev'!AM8</f>
        <v>0</v>
      </c>
      <c r="AX8" s="197">
        <f>HLOOKUP(AX$2,'Baseline FRL'!$B$23:$O$28,6,FALSE)*'Program Activity-Rev'!AN8</f>
        <v>0</v>
      </c>
      <c r="AY8" s="197">
        <f>HLOOKUP(AY$2,'Baseline FRL'!$B$23:$O$28,6,FALSE)*'Program Activity-Rev'!AO8</f>
        <v>0</v>
      </c>
      <c r="AZ8" s="197">
        <f>HLOOKUP(AZ$2,'Baseline FRL'!$B$23:$O$28,6,FALSE)*'Program Activity-Rev'!AP8</f>
        <v>0</v>
      </c>
      <c r="BA8" s="197">
        <f>HLOOKUP(BA$2,'Baseline FRL'!$B$23:$O$28,6,FALSE)*'Program Activity-Rev'!AQ8</f>
        <v>0</v>
      </c>
      <c r="BB8" s="197">
        <f>HLOOKUP(BB$2,'Baseline FRL'!$B$23:$O$28,6,FALSE)*'Program Activity-Rev'!AR8</f>
        <v>0</v>
      </c>
      <c r="BC8" s="197">
        <f>HLOOKUP(BC$2,'Baseline FRL'!$B$23:$O$28,6,FALSE)*'Program Activity-Rev'!AS8</f>
        <v>0</v>
      </c>
      <c r="BD8" s="197">
        <f>HLOOKUP(BD$2,'Baseline FRL'!$B$23:$O$28,6,FALSE)*'Program Activity-Rev'!AT8</f>
        <v>0</v>
      </c>
      <c r="BE8" s="197">
        <f>HLOOKUP(BE$2,'Baseline FRL'!$B$23:$O$28,6,FALSE)*'Program Activity-Rev'!AU8</f>
        <v>0</v>
      </c>
      <c r="BF8" s="198">
        <f>SUM(AV8:BE8)</f>
        <v>0</v>
      </c>
    </row>
    <row r="9" spans="1:58" ht="28.8" x14ac:dyDescent="0.3">
      <c r="A9" s="93" t="s">
        <v>401</v>
      </c>
      <c r="B9" s="92" t="s">
        <v>402</v>
      </c>
      <c r="C9" s="228" t="s">
        <v>403</v>
      </c>
      <c r="D9" s="229" t="s">
        <v>405</v>
      </c>
      <c r="E9" s="229" t="s">
        <v>127</v>
      </c>
      <c r="F9" s="93" t="s">
        <v>47</v>
      </c>
      <c r="G9" s="93" t="s">
        <v>106</v>
      </c>
      <c r="H9" s="189">
        <f>HLOOKUP(H$2,'Baseline FRL'!$B$23:$O$28,5,FALSE)</f>
        <v>66475</v>
      </c>
      <c r="I9" s="189">
        <f>HLOOKUP(I$2,'Baseline FRL'!$B$23:$O$28,5,FALSE)</f>
        <v>25443</v>
      </c>
      <c r="J9" s="189">
        <f>HLOOKUP(J$2,'Baseline FRL'!$B$23:$O$28,5,FALSE)</f>
        <v>7258</v>
      </c>
      <c r="K9" s="189">
        <f>HLOOKUP(K$2,'Baseline FRL'!$B$23:$O$28,5,FALSE)</f>
        <v>500</v>
      </c>
      <c r="L9" s="189">
        <f>HLOOKUP(L$2,'Baseline FRL'!$B$23:$O$28,5,FALSE)</f>
        <v>215</v>
      </c>
      <c r="M9" s="189">
        <f>HLOOKUP(M$2,'Baseline FRL'!$B$23:$O$28,5,FALSE)</f>
        <v>3928</v>
      </c>
      <c r="N9" s="189">
        <f>HLOOKUP(N$2,'Baseline FRL'!$B$23:$O$28,5,FALSE)</f>
        <v>508</v>
      </c>
      <c r="O9" s="189">
        <f>HLOOKUP(O$2,'Baseline FRL'!$B$23:$O$28,5,FALSE)</f>
        <v>5</v>
      </c>
      <c r="P9" s="189">
        <f>HLOOKUP(P$2,'Baseline FRL'!$B$23:$O$28,5,FALSE)</f>
        <v>1786</v>
      </c>
      <c r="Q9" s="189">
        <f>HLOOKUP(Q$2,'Baseline FRL'!$B$23:$O$28,5,FALSE)</f>
        <v>528</v>
      </c>
      <c r="R9" s="191">
        <f>HLOOKUP(R$3,'Implementing Areas'!$B$53:$K$64,2,FALSE)</f>
        <v>1</v>
      </c>
      <c r="S9" s="191">
        <f>HLOOKUP(S$3,'Implementing Areas'!$B$53:$K$64,2,FALSE)</f>
        <v>1</v>
      </c>
      <c r="T9" s="191">
        <f>HLOOKUP(T$3,'Implementing Areas'!$B$53:$K$64,2,FALSE)</f>
        <v>1</v>
      </c>
      <c r="U9" s="191">
        <f>HLOOKUP(U$3,'Implementing Areas'!$B$53:$K$64,2,FALSE)</f>
        <v>1</v>
      </c>
      <c r="V9" s="191">
        <f>HLOOKUP(V$3,'Implementing Areas'!$B$53:$K$64,2,FALSE)</f>
        <v>1</v>
      </c>
      <c r="W9" s="191">
        <f>HLOOKUP(W$3,'Implementing Areas'!$B$53:$K$64,2,FALSE)</f>
        <v>1</v>
      </c>
      <c r="X9" s="191">
        <f>HLOOKUP(X$3,'Implementing Areas'!$B$53:$K$64,2,FALSE)</f>
        <v>0</v>
      </c>
      <c r="Y9" s="191">
        <f>HLOOKUP(Y$3,'Implementing Areas'!$B$53:$K$64,2,FALSE)</f>
        <v>1</v>
      </c>
      <c r="Z9" s="191">
        <f>HLOOKUP(Z$3,'Implementing Areas'!$B$53:$K$64,2,FALSE)</f>
        <v>1</v>
      </c>
      <c r="AA9" s="191">
        <f>HLOOKUP(AA$3,'Implementing Areas'!$B$53:$K$64,2,FALSE)</f>
        <v>1</v>
      </c>
      <c r="AB9" s="193">
        <f>(VLOOKUP($F9,'ER Target'!$C$3:$D$10,2,FALSE))*'Program Activity-Rev'!R9*'ER Target'!$D$12</f>
        <v>0</v>
      </c>
      <c r="AC9" s="193">
        <f>(VLOOKUP($F9,'ER Target'!$C$3:$D$10,2,FALSE))*'Program Activity-Rev'!S9*'ER Target'!$D$12</f>
        <v>0</v>
      </c>
      <c r="AD9" s="193">
        <f>(VLOOKUP($F9,'ER Target'!$C$3:$D$10,2,FALSE))*'Program Activity-Rev'!T9*'ER Target'!$D$12</f>
        <v>0</v>
      </c>
      <c r="AE9" s="193">
        <f>(VLOOKUP($F9,'ER Target'!$C$3:$D$10,2,FALSE))*'Program Activity-Rev'!U9*'ER Target'!$D$12</f>
        <v>0</v>
      </c>
      <c r="AF9" s="193">
        <f>(VLOOKUP($F9,'ER Target'!$C$3:$D$10,2,FALSE))*'Program Activity-Rev'!V9*'ER Target'!$D$12</f>
        <v>0</v>
      </c>
      <c r="AG9" s="193">
        <f>(VLOOKUP($F9,'ER Target'!$C$3:$D$10,2,FALSE))*'Program Activity-Rev'!W9*'ER Target'!$D$12</f>
        <v>0</v>
      </c>
      <c r="AH9" s="193">
        <f>(VLOOKUP($F9,'ER Target'!$C$3:$D$10,2,FALSE))*'Program Activity-Rev'!X9*'ER Target'!$D$12</f>
        <v>0</v>
      </c>
      <c r="AI9" s="193">
        <f>(VLOOKUP($F9,'ER Target'!$C$3:$D$10,2,FALSE))*'Program Activity-Rev'!Y9*'ER Target'!$D$12</f>
        <v>0</v>
      </c>
      <c r="AJ9" s="193">
        <f>(VLOOKUP($F9,'ER Target'!$C$3:$D$10,2,FALSE))*'Program Activity-Rev'!Z9*'ER Target'!$D$12</f>
        <v>0</v>
      </c>
      <c r="AK9" s="193">
        <f>(VLOOKUP($F9,'ER Target'!$C$3:$D$10,2,FALSE))*'Program Activity-Rev'!AA9*'ER Target'!$D$12</f>
        <v>0</v>
      </c>
      <c r="AL9" s="195">
        <f t="shared" ref="AL9:AL67" si="1">H9*AB9</f>
        <v>0</v>
      </c>
      <c r="AM9" s="195">
        <f t="shared" si="0"/>
        <v>0</v>
      </c>
      <c r="AN9" s="195">
        <f t="shared" si="0"/>
        <v>0</v>
      </c>
      <c r="AO9" s="195">
        <f t="shared" si="0"/>
        <v>0</v>
      </c>
      <c r="AP9" s="195">
        <f t="shared" si="0"/>
        <v>0</v>
      </c>
      <c r="AQ9" s="195">
        <f t="shared" si="0"/>
        <v>0</v>
      </c>
      <c r="AR9" s="195">
        <f t="shared" si="0"/>
        <v>0</v>
      </c>
      <c r="AS9" s="195">
        <f t="shared" si="0"/>
        <v>0</v>
      </c>
      <c r="AT9" s="195">
        <f t="shared" si="0"/>
        <v>0</v>
      </c>
      <c r="AU9" s="195">
        <f t="shared" si="0"/>
        <v>0</v>
      </c>
      <c r="AV9" s="197">
        <f>HLOOKUP(AV$2,'Baseline FRL'!$B$23:$O$28,6,FALSE)*'Program Activity-Rev'!AL9</f>
        <v>0</v>
      </c>
      <c r="AW9" s="197">
        <f>HLOOKUP(AW$2,'Baseline FRL'!$B$23:$O$28,6,FALSE)*'Program Activity-Rev'!AM9</f>
        <v>0</v>
      </c>
      <c r="AX9" s="197">
        <f>HLOOKUP(AX$2,'Baseline FRL'!$B$23:$O$28,6,FALSE)*'Program Activity-Rev'!AN9</f>
        <v>0</v>
      </c>
      <c r="AY9" s="197">
        <f>HLOOKUP(AY$2,'Baseline FRL'!$B$23:$O$28,6,FALSE)*'Program Activity-Rev'!AO9</f>
        <v>0</v>
      </c>
      <c r="AZ9" s="197">
        <f>HLOOKUP(AZ$2,'Baseline FRL'!$B$23:$O$28,6,FALSE)*'Program Activity-Rev'!AP9</f>
        <v>0</v>
      </c>
      <c r="BA9" s="197">
        <f>HLOOKUP(BA$2,'Baseline FRL'!$B$23:$O$28,6,FALSE)*'Program Activity-Rev'!AQ9</f>
        <v>0</v>
      </c>
      <c r="BB9" s="197">
        <f>HLOOKUP(BB$2,'Baseline FRL'!$B$23:$O$28,6,FALSE)*'Program Activity-Rev'!AR9</f>
        <v>0</v>
      </c>
      <c r="BC9" s="197">
        <f>HLOOKUP(BC$2,'Baseline FRL'!$B$23:$O$28,6,FALSE)*'Program Activity-Rev'!AS9</f>
        <v>0</v>
      </c>
      <c r="BD9" s="197">
        <f>HLOOKUP(BD$2,'Baseline FRL'!$B$23:$O$28,6,FALSE)*'Program Activity-Rev'!AT9</f>
        <v>0</v>
      </c>
      <c r="BE9" s="197">
        <f>HLOOKUP(BE$2,'Baseline FRL'!$B$23:$O$28,6,FALSE)*'Program Activity-Rev'!AU9</f>
        <v>0</v>
      </c>
      <c r="BF9" s="198">
        <f t="shared" ref="BF9:BF67" si="2">SUM(AV9:BE9)</f>
        <v>0</v>
      </c>
    </row>
    <row r="10" spans="1:58" x14ac:dyDescent="0.3">
      <c r="A10" s="93" t="s">
        <v>401</v>
      </c>
      <c r="B10" s="92" t="s">
        <v>402</v>
      </c>
      <c r="C10" s="228" t="s">
        <v>403</v>
      </c>
      <c r="D10" s="229" t="s">
        <v>406</v>
      </c>
      <c r="E10" s="229" t="s">
        <v>128</v>
      </c>
      <c r="F10" s="93" t="s">
        <v>47</v>
      </c>
      <c r="G10" s="93" t="s">
        <v>106</v>
      </c>
      <c r="H10" s="189">
        <f>HLOOKUP(H$2,'Baseline FRL'!$B$23:$O$28,5,FALSE)</f>
        <v>66475</v>
      </c>
      <c r="I10" s="189">
        <f>HLOOKUP(I$2,'Baseline FRL'!$B$23:$O$28,5,FALSE)</f>
        <v>25443</v>
      </c>
      <c r="J10" s="189">
        <f>HLOOKUP(J$2,'Baseline FRL'!$B$23:$O$28,5,FALSE)</f>
        <v>7258</v>
      </c>
      <c r="K10" s="189">
        <f>HLOOKUP(K$2,'Baseline FRL'!$B$23:$O$28,5,FALSE)</f>
        <v>500</v>
      </c>
      <c r="L10" s="189">
        <f>HLOOKUP(L$2,'Baseline FRL'!$B$23:$O$28,5,FALSE)</f>
        <v>215</v>
      </c>
      <c r="M10" s="189">
        <f>HLOOKUP(M$2,'Baseline FRL'!$B$23:$O$28,5,FALSE)</f>
        <v>3928</v>
      </c>
      <c r="N10" s="189">
        <f>HLOOKUP(N$2,'Baseline FRL'!$B$23:$O$28,5,FALSE)</f>
        <v>508</v>
      </c>
      <c r="O10" s="189">
        <f>HLOOKUP(O$2,'Baseline FRL'!$B$23:$O$28,5,FALSE)</f>
        <v>5</v>
      </c>
      <c r="P10" s="189">
        <f>HLOOKUP(P$2,'Baseline FRL'!$B$23:$O$28,5,FALSE)</f>
        <v>1786</v>
      </c>
      <c r="Q10" s="189">
        <f>HLOOKUP(Q$2,'Baseline FRL'!$B$23:$O$28,5,FALSE)</f>
        <v>528</v>
      </c>
      <c r="R10" s="191">
        <f>HLOOKUP(R$3,'Implementing Areas'!$B$53:$K$64,2,FALSE)</f>
        <v>1</v>
      </c>
      <c r="S10" s="191">
        <f>HLOOKUP(S$3,'Implementing Areas'!$B$53:$K$64,2,FALSE)</f>
        <v>1</v>
      </c>
      <c r="T10" s="191">
        <f>HLOOKUP(T$3,'Implementing Areas'!$B$53:$K$64,2,FALSE)</f>
        <v>1</v>
      </c>
      <c r="U10" s="191">
        <f>HLOOKUP(U$3,'Implementing Areas'!$B$53:$K$64,2,FALSE)</f>
        <v>1</v>
      </c>
      <c r="V10" s="191">
        <f>HLOOKUP(V$3,'Implementing Areas'!$B$53:$K$64,2,FALSE)</f>
        <v>1</v>
      </c>
      <c r="W10" s="191">
        <f>HLOOKUP(W$3,'Implementing Areas'!$B$53:$K$64,2,FALSE)</f>
        <v>1</v>
      </c>
      <c r="X10" s="191">
        <f>HLOOKUP(X$3,'Implementing Areas'!$B$53:$K$64,2,FALSE)</f>
        <v>0</v>
      </c>
      <c r="Y10" s="191">
        <f>HLOOKUP(Y$3,'Implementing Areas'!$B$53:$K$64,2,FALSE)</f>
        <v>1</v>
      </c>
      <c r="Z10" s="191">
        <f>HLOOKUP(Z$3,'Implementing Areas'!$B$53:$K$64,2,FALSE)</f>
        <v>1</v>
      </c>
      <c r="AA10" s="191">
        <f>HLOOKUP(AA$3,'Implementing Areas'!$B$53:$K$64,2,FALSE)</f>
        <v>1</v>
      </c>
      <c r="AB10" s="193">
        <f>(VLOOKUP($F10,'ER Target'!$C$3:$D$10,2,FALSE))*'Program Activity-Rev'!R10*'ER Target'!$D$12</f>
        <v>0</v>
      </c>
      <c r="AC10" s="193">
        <f>(VLOOKUP($F10,'ER Target'!$C$3:$D$10,2,FALSE))*'Program Activity-Rev'!S10*'ER Target'!$D$12</f>
        <v>0</v>
      </c>
      <c r="AD10" s="193">
        <f>(VLOOKUP($F10,'ER Target'!$C$3:$D$10,2,FALSE))*'Program Activity-Rev'!T10*'ER Target'!$D$12</f>
        <v>0</v>
      </c>
      <c r="AE10" s="193">
        <f>(VLOOKUP($F10,'ER Target'!$C$3:$D$10,2,FALSE))*'Program Activity-Rev'!U10*'ER Target'!$D$12</f>
        <v>0</v>
      </c>
      <c r="AF10" s="193">
        <f>(VLOOKUP($F10,'ER Target'!$C$3:$D$10,2,FALSE))*'Program Activity-Rev'!V10*'ER Target'!$D$12</f>
        <v>0</v>
      </c>
      <c r="AG10" s="193">
        <f>(VLOOKUP($F10,'ER Target'!$C$3:$D$10,2,FALSE))*'Program Activity-Rev'!W10*'ER Target'!$D$12</f>
        <v>0</v>
      </c>
      <c r="AH10" s="193">
        <f>(VLOOKUP($F10,'ER Target'!$C$3:$D$10,2,FALSE))*'Program Activity-Rev'!X10*'ER Target'!$D$12</f>
        <v>0</v>
      </c>
      <c r="AI10" s="193">
        <f>(VLOOKUP($F10,'ER Target'!$C$3:$D$10,2,FALSE))*'Program Activity-Rev'!Y10*'ER Target'!$D$12</f>
        <v>0</v>
      </c>
      <c r="AJ10" s="193">
        <f>(VLOOKUP($F10,'ER Target'!$C$3:$D$10,2,FALSE))*'Program Activity-Rev'!Z10*'ER Target'!$D$12</f>
        <v>0</v>
      </c>
      <c r="AK10" s="193">
        <f>(VLOOKUP($F10,'ER Target'!$C$3:$D$10,2,FALSE))*'Program Activity-Rev'!AA10*'ER Target'!$D$12</f>
        <v>0</v>
      </c>
      <c r="AL10" s="195">
        <f t="shared" si="1"/>
        <v>0</v>
      </c>
      <c r="AM10" s="195">
        <f t="shared" si="0"/>
        <v>0</v>
      </c>
      <c r="AN10" s="195">
        <f t="shared" si="0"/>
        <v>0</v>
      </c>
      <c r="AO10" s="195">
        <f t="shared" si="0"/>
        <v>0</v>
      </c>
      <c r="AP10" s="195">
        <f t="shared" si="0"/>
        <v>0</v>
      </c>
      <c r="AQ10" s="195">
        <f t="shared" si="0"/>
        <v>0</v>
      </c>
      <c r="AR10" s="195">
        <f t="shared" si="0"/>
        <v>0</v>
      </c>
      <c r="AS10" s="195">
        <f t="shared" si="0"/>
        <v>0</v>
      </c>
      <c r="AT10" s="195">
        <f t="shared" si="0"/>
        <v>0</v>
      </c>
      <c r="AU10" s="195">
        <f t="shared" si="0"/>
        <v>0</v>
      </c>
      <c r="AV10" s="197">
        <f>HLOOKUP(AV$2,'Baseline FRL'!$B$23:$O$28,6,FALSE)*'Program Activity-Rev'!AL10</f>
        <v>0</v>
      </c>
      <c r="AW10" s="197">
        <f>HLOOKUP(AW$2,'Baseline FRL'!$B$23:$O$28,6,FALSE)*'Program Activity-Rev'!AM10</f>
        <v>0</v>
      </c>
      <c r="AX10" s="197">
        <f>HLOOKUP(AX$2,'Baseline FRL'!$B$23:$O$28,6,FALSE)*'Program Activity-Rev'!AN10</f>
        <v>0</v>
      </c>
      <c r="AY10" s="197">
        <f>HLOOKUP(AY$2,'Baseline FRL'!$B$23:$O$28,6,FALSE)*'Program Activity-Rev'!AO10</f>
        <v>0</v>
      </c>
      <c r="AZ10" s="197">
        <f>HLOOKUP(AZ$2,'Baseline FRL'!$B$23:$O$28,6,FALSE)*'Program Activity-Rev'!AP10</f>
        <v>0</v>
      </c>
      <c r="BA10" s="197">
        <f>HLOOKUP(BA$2,'Baseline FRL'!$B$23:$O$28,6,FALSE)*'Program Activity-Rev'!AQ10</f>
        <v>0</v>
      </c>
      <c r="BB10" s="197">
        <f>HLOOKUP(BB$2,'Baseline FRL'!$B$23:$O$28,6,FALSE)*'Program Activity-Rev'!AR10</f>
        <v>0</v>
      </c>
      <c r="BC10" s="197">
        <f>HLOOKUP(BC$2,'Baseline FRL'!$B$23:$O$28,6,FALSE)*'Program Activity-Rev'!AS10</f>
        <v>0</v>
      </c>
      <c r="BD10" s="197">
        <f>HLOOKUP(BD$2,'Baseline FRL'!$B$23:$O$28,6,FALSE)*'Program Activity-Rev'!AT10</f>
        <v>0</v>
      </c>
      <c r="BE10" s="197">
        <f>HLOOKUP(BE$2,'Baseline FRL'!$B$23:$O$28,6,FALSE)*'Program Activity-Rev'!AU10</f>
        <v>0</v>
      </c>
      <c r="BF10" s="198">
        <f t="shared" si="2"/>
        <v>0</v>
      </c>
    </row>
    <row r="11" spans="1:58" s="173" customFormat="1" x14ac:dyDescent="0.3">
      <c r="A11" s="93" t="s">
        <v>401</v>
      </c>
      <c r="B11" s="230" t="s">
        <v>57</v>
      </c>
      <c r="C11" s="183" t="s">
        <v>56</v>
      </c>
      <c r="D11" s="183" t="s">
        <v>58</v>
      </c>
      <c r="E11" s="183" t="s">
        <v>129</v>
      </c>
      <c r="F11" s="183" t="s">
        <v>47</v>
      </c>
      <c r="G11" s="183" t="s">
        <v>106</v>
      </c>
      <c r="H11" s="189">
        <f>HLOOKUP(H$2,'Baseline FRL'!$B$23:$O$28,5,FALSE)</f>
        <v>66475</v>
      </c>
      <c r="I11" s="189">
        <f>HLOOKUP(I$2,'Baseline FRL'!$B$23:$O$28,5,FALSE)</f>
        <v>25443</v>
      </c>
      <c r="J11" s="189">
        <f>HLOOKUP(J$2,'Baseline FRL'!$B$23:$O$28,5,FALSE)</f>
        <v>7258</v>
      </c>
      <c r="K11" s="189">
        <f>HLOOKUP(K$2,'Baseline FRL'!$B$23:$O$28,5,FALSE)</f>
        <v>500</v>
      </c>
      <c r="L11" s="189">
        <f>HLOOKUP(L$2,'Baseline FRL'!$B$23:$O$28,5,FALSE)</f>
        <v>215</v>
      </c>
      <c r="M11" s="189">
        <f>HLOOKUP(M$2,'Baseline FRL'!$B$23:$O$28,5,FALSE)</f>
        <v>3928</v>
      </c>
      <c r="N11" s="189">
        <f>HLOOKUP(N$2,'Baseline FRL'!$B$23:$O$28,5,FALSE)</f>
        <v>508</v>
      </c>
      <c r="O11" s="189">
        <f>HLOOKUP(O$2,'Baseline FRL'!$B$23:$O$28,5,FALSE)</f>
        <v>5</v>
      </c>
      <c r="P11" s="189">
        <f>HLOOKUP(P$2,'Baseline FRL'!$B$23:$O$28,5,FALSE)</f>
        <v>1786</v>
      </c>
      <c r="Q11" s="189">
        <f>HLOOKUP(Q$2,'Baseline FRL'!$B$23:$O$28,5,FALSE)</f>
        <v>528</v>
      </c>
      <c r="R11" s="242">
        <f>HLOOKUP(R$3,'Implementing Areas'!$B$53:$K$64,2,FALSE)</f>
        <v>1</v>
      </c>
      <c r="S11" s="242">
        <f>HLOOKUP(S$3,'Implementing Areas'!$B$53:$K$64,2,FALSE)</f>
        <v>1</v>
      </c>
      <c r="T11" s="242">
        <f>HLOOKUP(T$3,'Implementing Areas'!$B$53:$K$64,2,FALSE)</f>
        <v>1</v>
      </c>
      <c r="U11" s="242">
        <f>HLOOKUP(U$3,'Implementing Areas'!$B$53:$K$64,2,FALSE)</f>
        <v>1</v>
      </c>
      <c r="V11" s="242">
        <f>HLOOKUP(V$3,'Implementing Areas'!$B$53:$K$64,2,FALSE)</f>
        <v>1</v>
      </c>
      <c r="W11" s="242">
        <f>HLOOKUP(W$3,'Implementing Areas'!$B$53:$K$64,2,FALSE)</f>
        <v>1</v>
      </c>
      <c r="X11" s="242">
        <f>HLOOKUP(X$3,'Implementing Areas'!$B$53:$K$64,2,FALSE)</f>
        <v>0</v>
      </c>
      <c r="Y11" s="242">
        <f>HLOOKUP(Y$3,'Implementing Areas'!$B$53:$K$64,2,FALSE)</f>
        <v>1</v>
      </c>
      <c r="Z11" s="242">
        <f>HLOOKUP(Z$3,'Implementing Areas'!$B$53:$K$64,2,FALSE)</f>
        <v>1</v>
      </c>
      <c r="AA11" s="242">
        <f>HLOOKUP(AA$3,'Implementing Areas'!$B$53:$K$64,2,FALSE)</f>
        <v>1</v>
      </c>
      <c r="AB11" s="243">
        <f>(VLOOKUP($F11,'ER Target'!$C$3:$D$10,2,FALSE))*'Program Activity-Rev'!R11*'ER Target'!$D$12</f>
        <v>0</v>
      </c>
      <c r="AC11" s="243">
        <f>(VLOOKUP($F11,'ER Target'!$C$3:$D$10,2,FALSE))*'Program Activity-Rev'!S11*'ER Target'!$D$12</f>
        <v>0</v>
      </c>
      <c r="AD11" s="243">
        <f>(VLOOKUP($F11,'ER Target'!$C$3:$D$10,2,FALSE))*'Program Activity-Rev'!T11*'ER Target'!$D$12</f>
        <v>0</v>
      </c>
      <c r="AE11" s="243">
        <f>(VLOOKUP($F11,'ER Target'!$C$3:$D$10,2,FALSE))*'Program Activity-Rev'!U11*'ER Target'!$D$12</f>
        <v>0</v>
      </c>
      <c r="AF11" s="243">
        <f>(VLOOKUP($F11,'ER Target'!$C$3:$D$10,2,FALSE))*'Program Activity-Rev'!V11*'ER Target'!$D$12</f>
        <v>0</v>
      </c>
      <c r="AG11" s="243">
        <f>(VLOOKUP($F11,'ER Target'!$C$3:$D$10,2,FALSE))*'Program Activity-Rev'!W11*'ER Target'!$D$12</f>
        <v>0</v>
      </c>
      <c r="AH11" s="243">
        <f>(VLOOKUP($F11,'ER Target'!$C$3:$D$10,2,FALSE))*'Program Activity-Rev'!X11*'ER Target'!$D$12</f>
        <v>0</v>
      </c>
      <c r="AI11" s="243">
        <f>(VLOOKUP($F11,'ER Target'!$C$3:$D$10,2,FALSE))*'Program Activity-Rev'!Y11*'ER Target'!$D$12</f>
        <v>0</v>
      </c>
      <c r="AJ11" s="243">
        <f>(VLOOKUP($F11,'ER Target'!$C$3:$D$10,2,FALSE))*'Program Activity-Rev'!Z11*'ER Target'!$D$12</f>
        <v>0</v>
      </c>
      <c r="AK11" s="243">
        <f>(VLOOKUP($F11,'ER Target'!$C$3:$D$10,2,FALSE))*'Program Activity-Rev'!AA11*'ER Target'!$D$12</f>
        <v>0</v>
      </c>
      <c r="AL11" s="244">
        <f t="shared" si="1"/>
        <v>0</v>
      </c>
      <c r="AM11" s="244">
        <f t="shared" si="0"/>
        <v>0</v>
      </c>
      <c r="AN11" s="244">
        <f t="shared" si="0"/>
        <v>0</v>
      </c>
      <c r="AO11" s="244">
        <f t="shared" si="0"/>
        <v>0</v>
      </c>
      <c r="AP11" s="244">
        <f t="shared" si="0"/>
        <v>0</v>
      </c>
      <c r="AQ11" s="244">
        <f t="shared" si="0"/>
        <v>0</v>
      </c>
      <c r="AR11" s="244">
        <f t="shared" si="0"/>
        <v>0</v>
      </c>
      <c r="AS11" s="244">
        <f t="shared" si="0"/>
        <v>0</v>
      </c>
      <c r="AT11" s="244">
        <f t="shared" si="0"/>
        <v>0</v>
      </c>
      <c r="AU11" s="244">
        <f t="shared" si="0"/>
        <v>0</v>
      </c>
      <c r="AV11" s="245">
        <f>HLOOKUP(AV$2,'Baseline FRL'!$B$23:$O$28,6,FALSE)*'Program Activity-Rev'!AL11</f>
        <v>0</v>
      </c>
      <c r="AW11" s="245">
        <f>HLOOKUP(AW$2,'Baseline FRL'!$B$23:$O$28,6,FALSE)*'Program Activity-Rev'!AM11</f>
        <v>0</v>
      </c>
      <c r="AX11" s="245">
        <f>HLOOKUP(AX$2,'Baseline FRL'!$B$23:$O$28,6,FALSE)*'Program Activity-Rev'!AN11</f>
        <v>0</v>
      </c>
      <c r="AY11" s="245">
        <f>HLOOKUP(AY$2,'Baseline FRL'!$B$23:$O$28,6,FALSE)*'Program Activity-Rev'!AO11</f>
        <v>0</v>
      </c>
      <c r="AZ11" s="245">
        <f>HLOOKUP(AZ$2,'Baseline FRL'!$B$23:$O$28,6,FALSE)*'Program Activity-Rev'!AP11</f>
        <v>0</v>
      </c>
      <c r="BA11" s="245">
        <f>HLOOKUP(BA$2,'Baseline FRL'!$B$23:$O$28,6,FALSE)*'Program Activity-Rev'!AQ11</f>
        <v>0</v>
      </c>
      <c r="BB11" s="245">
        <f>HLOOKUP(BB$2,'Baseline FRL'!$B$23:$O$28,6,FALSE)*'Program Activity-Rev'!AR11</f>
        <v>0</v>
      </c>
      <c r="BC11" s="245">
        <f>HLOOKUP(BC$2,'Baseline FRL'!$B$23:$O$28,6,FALSE)*'Program Activity-Rev'!AS11</f>
        <v>0</v>
      </c>
      <c r="BD11" s="245">
        <f>HLOOKUP(BD$2,'Baseline FRL'!$B$23:$O$28,6,FALSE)*'Program Activity-Rev'!AT11</f>
        <v>0</v>
      </c>
      <c r="BE11" s="245">
        <f>HLOOKUP(BE$2,'Baseline FRL'!$B$23:$O$28,6,FALSE)*'Program Activity-Rev'!AU11</f>
        <v>0</v>
      </c>
      <c r="BF11" s="238">
        <f t="shared" si="2"/>
        <v>0</v>
      </c>
    </row>
    <row r="12" spans="1:58" s="6" customFormat="1" ht="28.8" x14ac:dyDescent="0.3">
      <c r="A12" s="93" t="s">
        <v>401</v>
      </c>
      <c r="B12" s="91" t="s">
        <v>402</v>
      </c>
      <c r="C12" s="227" t="s">
        <v>407</v>
      </c>
      <c r="D12" s="227"/>
      <c r="E12" s="227" t="s">
        <v>245</v>
      </c>
      <c r="F12" s="89" t="s">
        <v>44</v>
      </c>
      <c r="G12" s="89" t="s">
        <v>106</v>
      </c>
      <c r="H12" s="189">
        <f>HLOOKUP(H$2,'Baseline FRL'!$B$23:$O$28,5,FALSE)</f>
        <v>66475</v>
      </c>
      <c r="I12" s="189">
        <f>HLOOKUP(I$2,'Baseline FRL'!$B$23:$O$28,5,FALSE)</f>
        <v>25443</v>
      </c>
      <c r="J12" s="189">
        <f>HLOOKUP(J$2,'Baseline FRL'!$B$23:$O$28,5,FALSE)</f>
        <v>7258</v>
      </c>
      <c r="K12" s="189">
        <f>HLOOKUP(K$2,'Baseline FRL'!$B$23:$O$28,5,FALSE)</f>
        <v>500</v>
      </c>
      <c r="L12" s="189">
        <f>HLOOKUP(L$2,'Baseline FRL'!$B$23:$O$28,5,FALSE)</f>
        <v>215</v>
      </c>
      <c r="M12" s="189">
        <f>HLOOKUP(M$2,'Baseline FRL'!$B$23:$O$28,5,FALSE)</f>
        <v>3928</v>
      </c>
      <c r="N12" s="189">
        <f>HLOOKUP(N$2,'Baseline FRL'!$B$23:$O$28,5,FALSE)</f>
        <v>508</v>
      </c>
      <c r="O12" s="189">
        <f>HLOOKUP(O$2,'Baseline FRL'!$B$23:$O$28,5,FALSE)</f>
        <v>5</v>
      </c>
      <c r="P12" s="189">
        <f>HLOOKUP(P$2,'Baseline FRL'!$B$23:$O$28,5,FALSE)</f>
        <v>1786</v>
      </c>
      <c r="Q12" s="189">
        <f>HLOOKUP(Q$2,'Baseline FRL'!$B$23:$O$28,5,FALSE)</f>
        <v>528</v>
      </c>
      <c r="R12" s="191"/>
      <c r="S12" s="191"/>
      <c r="T12" s="191"/>
      <c r="U12" s="191"/>
      <c r="V12" s="191"/>
      <c r="W12" s="191"/>
      <c r="X12" s="191"/>
      <c r="Y12" s="191"/>
      <c r="Z12" s="191"/>
      <c r="AA12" s="191"/>
      <c r="AB12" s="193">
        <f>(VLOOKUP($F12,'ER Target'!$C$3:$D$10,2,FALSE))*'Program Activity-Rev'!R12*'ER Target'!$D$12</f>
        <v>0</v>
      </c>
      <c r="AC12" s="193">
        <f>(VLOOKUP($F12,'ER Target'!$C$3:$D$10,2,FALSE))*'Program Activity-Rev'!S12*'ER Target'!$D$12</f>
        <v>0</v>
      </c>
      <c r="AD12" s="193">
        <f>(VLOOKUP($F12,'ER Target'!$C$3:$D$10,2,FALSE))*'Program Activity-Rev'!T12*'ER Target'!$D$12</f>
        <v>0</v>
      </c>
      <c r="AE12" s="193">
        <f>(VLOOKUP($F12,'ER Target'!$C$3:$D$10,2,FALSE))*'Program Activity-Rev'!U12*'ER Target'!$D$12</f>
        <v>0</v>
      </c>
      <c r="AF12" s="193">
        <f>(VLOOKUP($F12,'ER Target'!$C$3:$D$10,2,FALSE))*'Program Activity-Rev'!V12*'ER Target'!$D$12</f>
        <v>0</v>
      </c>
      <c r="AG12" s="193">
        <f>(VLOOKUP($F12,'ER Target'!$C$3:$D$10,2,FALSE))*'Program Activity-Rev'!W12*'ER Target'!$D$12</f>
        <v>0</v>
      </c>
      <c r="AH12" s="193">
        <f>(VLOOKUP($F12,'ER Target'!$C$3:$D$10,2,FALSE))*'Program Activity-Rev'!X12*'ER Target'!$D$12</f>
        <v>0</v>
      </c>
      <c r="AI12" s="193">
        <f>(VLOOKUP($F12,'ER Target'!$C$3:$D$10,2,FALSE))*'Program Activity-Rev'!Y12*'ER Target'!$D$12</f>
        <v>0</v>
      </c>
      <c r="AJ12" s="193">
        <f>(VLOOKUP($F12,'ER Target'!$C$3:$D$10,2,FALSE))*'Program Activity-Rev'!Z12*'ER Target'!$D$12</f>
        <v>0</v>
      </c>
      <c r="AK12" s="193">
        <f>(VLOOKUP($F12,'ER Target'!$C$3:$D$10,2,FALSE))*'Program Activity-Rev'!AA12*'ER Target'!$D$12</f>
        <v>0</v>
      </c>
      <c r="AL12" s="195">
        <f t="shared" si="1"/>
        <v>0</v>
      </c>
      <c r="AM12" s="195">
        <f t="shared" si="0"/>
        <v>0</v>
      </c>
      <c r="AN12" s="195">
        <f t="shared" si="0"/>
        <v>0</v>
      </c>
      <c r="AO12" s="195">
        <f t="shared" si="0"/>
        <v>0</v>
      </c>
      <c r="AP12" s="195">
        <f t="shared" si="0"/>
        <v>0</v>
      </c>
      <c r="AQ12" s="195">
        <f t="shared" si="0"/>
        <v>0</v>
      </c>
      <c r="AR12" s="195">
        <f t="shared" si="0"/>
        <v>0</v>
      </c>
      <c r="AS12" s="195">
        <f t="shared" si="0"/>
        <v>0</v>
      </c>
      <c r="AT12" s="195">
        <f t="shared" si="0"/>
        <v>0</v>
      </c>
      <c r="AU12" s="195">
        <f t="shared" si="0"/>
        <v>0</v>
      </c>
      <c r="AV12" s="197">
        <f>HLOOKUP(AV$2,'Baseline FRL'!$B$23:$O$28,6,FALSE)*'Program Activity-Rev'!AL12</f>
        <v>0</v>
      </c>
      <c r="AW12" s="197">
        <f>HLOOKUP(AW$2,'Baseline FRL'!$B$23:$O$28,6,FALSE)*'Program Activity-Rev'!AM12</f>
        <v>0</v>
      </c>
      <c r="AX12" s="197">
        <f>HLOOKUP(AX$2,'Baseline FRL'!$B$23:$O$28,6,FALSE)*'Program Activity-Rev'!AN12</f>
        <v>0</v>
      </c>
      <c r="AY12" s="197">
        <f>HLOOKUP(AY$2,'Baseline FRL'!$B$23:$O$28,6,FALSE)*'Program Activity-Rev'!AO12</f>
        <v>0</v>
      </c>
      <c r="AZ12" s="197">
        <f>HLOOKUP(AZ$2,'Baseline FRL'!$B$23:$O$28,6,FALSE)*'Program Activity-Rev'!AP12</f>
        <v>0</v>
      </c>
      <c r="BA12" s="197">
        <f>HLOOKUP(BA$2,'Baseline FRL'!$B$23:$O$28,6,FALSE)*'Program Activity-Rev'!AQ12</f>
        <v>0</v>
      </c>
      <c r="BB12" s="197">
        <f>HLOOKUP(BB$2,'Baseline FRL'!$B$23:$O$28,6,FALSE)*'Program Activity-Rev'!AR12</f>
        <v>0</v>
      </c>
      <c r="BC12" s="197">
        <f>HLOOKUP(BC$2,'Baseline FRL'!$B$23:$O$28,6,FALSE)*'Program Activity-Rev'!AS12</f>
        <v>0</v>
      </c>
      <c r="BD12" s="197">
        <f>HLOOKUP(BD$2,'Baseline FRL'!$B$23:$O$28,6,FALSE)*'Program Activity-Rev'!AT12</f>
        <v>0</v>
      </c>
      <c r="BE12" s="197">
        <f>HLOOKUP(BE$2,'Baseline FRL'!$B$23:$O$28,6,FALSE)*'Program Activity-Rev'!AU12</f>
        <v>0</v>
      </c>
      <c r="BF12" s="198">
        <f t="shared" si="2"/>
        <v>0</v>
      </c>
    </row>
    <row r="13" spans="1:58" x14ac:dyDescent="0.3">
      <c r="A13" s="93" t="s">
        <v>401</v>
      </c>
      <c r="B13" s="92" t="s">
        <v>402</v>
      </c>
      <c r="C13" s="228" t="s">
        <v>407</v>
      </c>
      <c r="D13" s="229" t="s">
        <v>408</v>
      </c>
      <c r="E13" s="229" t="s">
        <v>246</v>
      </c>
      <c r="F13" s="93" t="s">
        <v>44</v>
      </c>
      <c r="G13" s="93" t="s">
        <v>106</v>
      </c>
      <c r="H13" s="189">
        <f>HLOOKUP(H$2,'Baseline FRL'!$B$23:$O$28,5,FALSE)</f>
        <v>66475</v>
      </c>
      <c r="I13" s="189">
        <f>HLOOKUP(I$2,'Baseline FRL'!$B$23:$O$28,5,FALSE)</f>
        <v>25443</v>
      </c>
      <c r="J13" s="189">
        <f>HLOOKUP(J$2,'Baseline FRL'!$B$23:$O$28,5,FALSE)</f>
        <v>7258</v>
      </c>
      <c r="K13" s="189">
        <f>HLOOKUP(K$2,'Baseline FRL'!$B$23:$O$28,5,FALSE)</f>
        <v>500</v>
      </c>
      <c r="L13" s="189">
        <f>HLOOKUP(L$2,'Baseline FRL'!$B$23:$O$28,5,FALSE)</f>
        <v>215</v>
      </c>
      <c r="M13" s="189">
        <f>HLOOKUP(M$2,'Baseline FRL'!$B$23:$O$28,5,FALSE)</f>
        <v>3928</v>
      </c>
      <c r="N13" s="189">
        <f>HLOOKUP(N$2,'Baseline FRL'!$B$23:$O$28,5,FALSE)</f>
        <v>508</v>
      </c>
      <c r="O13" s="189">
        <f>HLOOKUP(O$2,'Baseline FRL'!$B$23:$O$28,5,FALSE)</f>
        <v>5</v>
      </c>
      <c r="P13" s="189">
        <f>HLOOKUP(P$2,'Baseline FRL'!$B$23:$O$28,5,FALSE)</f>
        <v>1786</v>
      </c>
      <c r="Q13" s="189">
        <f>HLOOKUP(Q$2,'Baseline FRL'!$B$23:$O$28,5,FALSE)</f>
        <v>528</v>
      </c>
      <c r="R13" s="191">
        <f>HLOOKUP(R$3,'Implementing Areas'!$B$53:$K$64,2,FALSE)</f>
        <v>1</v>
      </c>
      <c r="S13" s="191">
        <f>HLOOKUP(S$3,'Implementing Areas'!$B$53:$K$64,2,FALSE)</f>
        <v>1</v>
      </c>
      <c r="T13" s="191">
        <f>HLOOKUP(T$3,'Implementing Areas'!$B$53:$K$64,2,FALSE)</f>
        <v>1</v>
      </c>
      <c r="U13" s="191">
        <f>HLOOKUP(U$3,'Implementing Areas'!$B$53:$K$64,2,FALSE)</f>
        <v>1</v>
      </c>
      <c r="V13" s="191">
        <f>HLOOKUP(V$3,'Implementing Areas'!$B$53:$K$64,2,FALSE)</f>
        <v>1</v>
      </c>
      <c r="W13" s="191">
        <f>HLOOKUP(W$3,'Implementing Areas'!$B$53:$K$64,2,FALSE)</f>
        <v>1</v>
      </c>
      <c r="X13" s="191">
        <f>HLOOKUP(X$3,'Implementing Areas'!$B$53:$K$64,2,FALSE)</f>
        <v>0</v>
      </c>
      <c r="Y13" s="191">
        <f>HLOOKUP(Y$3,'Implementing Areas'!$B$53:$K$64,2,FALSE)</f>
        <v>1</v>
      </c>
      <c r="Z13" s="191">
        <f>HLOOKUP(Z$3,'Implementing Areas'!$B$53:$K$64,2,FALSE)</f>
        <v>1</v>
      </c>
      <c r="AA13" s="191">
        <f>HLOOKUP(AA$3,'Implementing Areas'!$B$53:$K$64,2,FALSE)</f>
        <v>1</v>
      </c>
      <c r="AB13" s="193">
        <f>(VLOOKUP($F13,'ER Target'!$C$3:$D$10,2,FALSE))*'Program Activity-Rev'!R13*'ER Target'!$D$12</f>
        <v>3.5000000000000003E-2</v>
      </c>
      <c r="AC13" s="193">
        <f>(VLOOKUP($F13,'ER Target'!$C$3:$D$10,2,FALSE))*'Program Activity-Rev'!S13*'ER Target'!$D$12</f>
        <v>3.5000000000000003E-2</v>
      </c>
      <c r="AD13" s="193">
        <f>(VLOOKUP($F13,'ER Target'!$C$3:$D$10,2,FALSE))*'Program Activity-Rev'!T13*'ER Target'!$D$12</f>
        <v>3.5000000000000003E-2</v>
      </c>
      <c r="AE13" s="193">
        <f>(VLOOKUP($F13,'ER Target'!$C$3:$D$10,2,FALSE))*'Program Activity-Rev'!U13*'ER Target'!$D$12</f>
        <v>3.5000000000000003E-2</v>
      </c>
      <c r="AF13" s="193">
        <f>(VLOOKUP($F13,'ER Target'!$C$3:$D$10,2,FALSE))*'Program Activity-Rev'!V13*'ER Target'!$D$12</f>
        <v>3.5000000000000003E-2</v>
      </c>
      <c r="AG13" s="193">
        <f>(VLOOKUP($F13,'ER Target'!$C$3:$D$10,2,FALSE))*'Program Activity-Rev'!W13*'ER Target'!$D$12</f>
        <v>3.5000000000000003E-2</v>
      </c>
      <c r="AH13" s="193">
        <f>(VLOOKUP($F13,'ER Target'!$C$3:$D$10,2,FALSE))*'Program Activity-Rev'!X13*'ER Target'!$D$12</f>
        <v>0</v>
      </c>
      <c r="AI13" s="193">
        <f>(VLOOKUP($F13,'ER Target'!$C$3:$D$10,2,FALSE))*'Program Activity-Rev'!Y13*'ER Target'!$D$12</f>
        <v>3.5000000000000003E-2</v>
      </c>
      <c r="AJ13" s="193">
        <f>(VLOOKUP($F13,'ER Target'!$C$3:$D$10,2,FALSE))*'Program Activity-Rev'!Z13*'ER Target'!$D$12</f>
        <v>3.5000000000000003E-2</v>
      </c>
      <c r="AK13" s="193">
        <f>(VLOOKUP($F13,'ER Target'!$C$3:$D$10,2,FALSE))*'Program Activity-Rev'!AA13*'ER Target'!$D$12</f>
        <v>3.5000000000000003E-2</v>
      </c>
      <c r="AL13" s="195">
        <f>H13*AB13</f>
        <v>2326.625</v>
      </c>
      <c r="AM13" s="195">
        <f t="shared" si="0"/>
        <v>890.50500000000011</v>
      </c>
      <c r="AN13" s="195">
        <f t="shared" si="0"/>
        <v>254.03000000000003</v>
      </c>
      <c r="AO13" s="195">
        <f>K13*AE13</f>
        <v>17.5</v>
      </c>
      <c r="AP13" s="195">
        <f t="shared" si="0"/>
        <v>7.5250000000000004</v>
      </c>
      <c r="AQ13" s="195">
        <f t="shared" si="0"/>
        <v>137.48000000000002</v>
      </c>
      <c r="AR13" s="195">
        <f t="shared" si="0"/>
        <v>0</v>
      </c>
      <c r="AS13" s="195">
        <f t="shared" si="0"/>
        <v>0.17500000000000002</v>
      </c>
      <c r="AT13" s="195">
        <f t="shared" si="0"/>
        <v>62.510000000000005</v>
      </c>
      <c r="AU13" s="195">
        <f t="shared" si="0"/>
        <v>18.48</v>
      </c>
      <c r="AV13" s="197">
        <f>HLOOKUP(AV$2,'Baseline FRL'!$B$23:$O$28,6,FALSE)*'Program Activity-Rev'!AL13</f>
        <v>865688.80999999994</v>
      </c>
      <c r="AW13" s="197">
        <f>HLOOKUP(AW$2,'Baseline FRL'!$B$23:$O$28,6,FALSE)*'Program Activity-Rev'!AM13</f>
        <v>33588.03</v>
      </c>
      <c r="AX13" s="197">
        <f>HLOOKUP(AX$2,'Baseline FRL'!$B$23:$O$28,6,FALSE)*'Program Activity-Rev'!AN13</f>
        <v>129304.63000000002</v>
      </c>
      <c r="AY13" s="197">
        <f>HLOOKUP(AY$2,'Baseline FRL'!$B$23:$O$28,6,FALSE)*'Program Activity-Rev'!AO13</f>
        <v>880.74</v>
      </c>
      <c r="AZ13" s="197">
        <f>HLOOKUP(AZ$2,'Baseline FRL'!$B$23:$O$28,6,FALSE)*'Program Activity-Rev'!AP13</f>
        <v>367.21999999999997</v>
      </c>
      <c r="BA13" s="197">
        <f>HLOOKUP(BA$2,'Baseline FRL'!$B$23:$O$28,6,FALSE)*'Program Activity-Rev'!AQ13</f>
        <v>28581.000000000004</v>
      </c>
      <c r="BB13" s="197">
        <f>HLOOKUP(BB$2,'Baseline FRL'!$B$23:$O$28,6,FALSE)*'Program Activity-Rev'!AR13</f>
        <v>0</v>
      </c>
      <c r="BC13" s="197">
        <f>HLOOKUP(BC$2,'Baseline FRL'!$B$23:$O$28,6,FALSE)*'Program Activity-Rev'!AS13</f>
        <v>7.2450000000000001</v>
      </c>
      <c r="BD13" s="197">
        <f>HLOOKUP(BD$2,'Baseline FRL'!$B$23:$O$28,6,FALSE)*'Program Activity-Rev'!AT13</f>
        <v>22391.530000000002</v>
      </c>
      <c r="BE13" s="197">
        <f>HLOOKUP(BE$2,'Baseline FRL'!$B$23:$O$28,6,FALSE)*'Program Activity-Rev'!AU13</f>
        <v>772.44999999999993</v>
      </c>
      <c r="BF13" s="198">
        <f t="shared" si="2"/>
        <v>1081581.655</v>
      </c>
    </row>
    <row r="14" spans="1:58" x14ac:dyDescent="0.3">
      <c r="A14" s="93" t="s">
        <v>401</v>
      </c>
      <c r="B14" s="92" t="s">
        <v>402</v>
      </c>
      <c r="C14" s="228" t="s">
        <v>407</v>
      </c>
      <c r="D14" s="229" t="s">
        <v>409</v>
      </c>
      <c r="E14" s="229" t="s">
        <v>130</v>
      </c>
      <c r="F14" s="93" t="s">
        <v>44</v>
      </c>
      <c r="G14" s="93" t="s">
        <v>106</v>
      </c>
      <c r="H14" s="189">
        <f>HLOOKUP(H$2,'Baseline FRL'!$B$23:$O$28,5,FALSE)</f>
        <v>66475</v>
      </c>
      <c r="I14" s="189">
        <f>HLOOKUP(I$2,'Baseline FRL'!$B$23:$O$28,5,FALSE)</f>
        <v>25443</v>
      </c>
      <c r="J14" s="189">
        <f>HLOOKUP(J$2,'Baseline FRL'!$B$23:$O$28,5,FALSE)</f>
        <v>7258</v>
      </c>
      <c r="K14" s="189">
        <f>HLOOKUP(K$2,'Baseline FRL'!$B$23:$O$28,5,FALSE)</f>
        <v>500</v>
      </c>
      <c r="L14" s="189">
        <f>HLOOKUP(L$2,'Baseline FRL'!$B$23:$O$28,5,FALSE)</f>
        <v>215</v>
      </c>
      <c r="M14" s="189">
        <f>HLOOKUP(M$2,'Baseline FRL'!$B$23:$O$28,5,FALSE)</f>
        <v>3928</v>
      </c>
      <c r="N14" s="189">
        <f>HLOOKUP(N$2,'Baseline FRL'!$B$23:$O$28,5,FALSE)</f>
        <v>508</v>
      </c>
      <c r="O14" s="189">
        <f>HLOOKUP(O$2,'Baseline FRL'!$B$23:$O$28,5,FALSE)</f>
        <v>5</v>
      </c>
      <c r="P14" s="189">
        <f>HLOOKUP(P$2,'Baseline FRL'!$B$23:$O$28,5,FALSE)</f>
        <v>1786</v>
      </c>
      <c r="Q14" s="189">
        <f>HLOOKUP(Q$2,'Baseline FRL'!$B$23:$O$28,5,FALSE)</f>
        <v>528</v>
      </c>
      <c r="R14" s="191">
        <f>HLOOKUP(R$3,'Implementing Areas'!$B$53:$K$64,2,FALSE)</f>
        <v>1</v>
      </c>
      <c r="S14" s="191">
        <f>HLOOKUP(S$3,'Implementing Areas'!$B$53:$K$64,2,FALSE)</f>
        <v>1</v>
      </c>
      <c r="T14" s="191">
        <f>HLOOKUP(T$3,'Implementing Areas'!$B$53:$K$64,2,FALSE)</f>
        <v>1</v>
      </c>
      <c r="U14" s="191">
        <f>HLOOKUP(U$3,'Implementing Areas'!$B$53:$K$64,2,FALSE)</f>
        <v>1</v>
      </c>
      <c r="V14" s="191">
        <f>HLOOKUP(V$3,'Implementing Areas'!$B$53:$K$64,2,FALSE)</f>
        <v>1</v>
      </c>
      <c r="W14" s="191">
        <f>HLOOKUP(W$3,'Implementing Areas'!$B$53:$K$64,2,FALSE)</f>
        <v>1</v>
      </c>
      <c r="X14" s="191">
        <f>HLOOKUP(X$3,'Implementing Areas'!$B$53:$K$64,2,FALSE)</f>
        <v>0</v>
      </c>
      <c r="Y14" s="191">
        <f>HLOOKUP(Y$3,'Implementing Areas'!$B$53:$K$64,2,FALSE)</f>
        <v>1</v>
      </c>
      <c r="Z14" s="191">
        <f>HLOOKUP(Z$3,'Implementing Areas'!$B$53:$K$64,2,FALSE)</f>
        <v>1</v>
      </c>
      <c r="AA14" s="191">
        <f>HLOOKUP(AA$3,'Implementing Areas'!$B$53:$K$64,2,FALSE)</f>
        <v>1</v>
      </c>
      <c r="AB14" s="193">
        <f>(VLOOKUP($F14,'ER Target'!$C$3:$D$10,2,FALSE))*'Program Activity-Rev'!R14*'ER Target'!$D$12</f>
        <v>3.5000000000000003E-2</v>
      </c>
      <c r="AC14" s="193">
        <f>(VLOOKUP($F14,'ER Target'!$C$3:$D$10,2,FALSE))*'Program Activity-Rev'!S14*'ER Target'!$D$12</f>
        <v>3.5000000000000003E-2</v>
      </c>
      <c r="AD14" s="193">
        <f>(VLOOKUP($F14,'ER Target'!$C$3:$D$10,2,FALSE))*'Program Activity-Rev'!T14*'ER Target'!$D$12</f>
        <v>3.5000000000000003E-2</v>
      </c>
      <c r="AE14" s="193">
        <f>(VLOOKUP($F14,'ER Target'!$C$3:$D$10,2,FALSE))*'Program Activity-Rev'!U14*'ER Target'!$D$12</f>
        <v>3.5000000000000003E-2</v>
      </c>
      <c r="AF14" s="193">
        <f>(VLOOKUP($F14,'ER Target'!$C$3:$D$10,2,FALSE))*'Program Activity-Rev'!V14*'ER Target'!$D$12</f>
        <v>3.5000000000000003E-2</v>
      </c>
      <c r="AG14" s="193">
        <f>(VLOOKUP($F14,'ER Target'!$C$3:$D$10,2,FALSE))*'Program Activity-Rev'!W14*'ER Target'!$D$12</f>
        <v>3.5000000000000003E-2</v>
      </c>
      <c r="AH14" s="193">
        <f>(VLOOKUP($F14,'ER Target'!$C$3:$D$10,2,FALSE))*'Program Activity-Rev'!X14*'ER Target'!$D$12</f>
        <v>0</v>
      </c>
      <c r="AI14" s="193">
        <f>(VLOOKUP($F14,'ER Target'!$C$3:$D$10,2,FALSE))*'Program Activity-Rev'!Y14*'ER Target'!$D$12</f>
        <v>3.5000000000000003E-2</v>
      </c>
      <c r="AJ14" s="193">
        <f>(VLOOKUP($F14,'ER Target'!$C$3:$D$10,2,FALSE))*'Program Activity-Rev'!Z14*'ER Target'!$D$12</f>
        <v>3.5000000000000003E-2</v>
      </c>
      <c r="AK14" s="193">
        <f>(VLOOKUP($F14,'ER Target'!$C$3:$D$10,2,FALSE))*'Program Activity-Rev'!AA14*'ER Target'!$D$12</f>
        <v>3.5000000000000003E-2</v>
      </c>
      <c r="AL14" s="195">
        <f t="shared" si="1"/>
        <v>2326.625</v>
      </c>
      <c r="AM14" s="195">
        <f t="shared" si="0"/>
        <v>890.50500000000011</v>
      </c>
      <c r="AN14" s="195">
        <f t="shared" si="0"/>
        <v>254.03000000000003</v>
      </c>
      <c r="AO14" s="195">
        <f t="shared" si="0"/>
        <v>17.5</v>
      </c>
      <c r="AP14" s="195">
        <f t="shared" si="0"/>
        <v>7.5250000000000004</v>
      </c>
      <c r="AQ14" s="195">
        <f t="shared" si="0"/>
        <v>137.48000000000002</v>
      </c>
      <c r="AR14" s="195">
        <f t="shared" si="0"/>
        <v>0</v>
      </c>
      <c r="AS14" s="195">
        <f t="shared" si="0"/>
        <v>0.17500000000000002</v>
      </c>
      <c r="AT14" s="195">
        <f t="shared" si="0"/>
        <v>62.510000000000005</v>
      </c>
      <c r="AU14" s="195">
        <f t="shared" si="0"/>
        <v>18.48</v>
      </c>
      <c r="AV14" s="197">
        <f>HLOOKUP(AV$2,'Baseline FRL'!$B$23:$O$28,6,FALSE)*'Program Activity-Rev'!AL14</f>
        <v>865688.80999999994</v>
      </c>
      <c r="AW14" s="197">
        <f>HLOOKUP(AW$2,'Baseline FRL'!$B$23:$O$28,6,FALSE)*'Program Activity-Rev'!AM14</f>
        <v>33588.03</v>
      </c>
      <c r="AX14" s="197">
        <f>HLOOKUP(AX$2,'Baseline FRL'!$B$23:$O$28,6,FALSE)*'Program Activity-Rev'!AN14</f>
        <v>129304.63000000002</v>
      </c>
      <c r="AY14" s="197">
        <f>HLOOKUP(AY$2,'Baseline FRL'!$B$23:$O$28,6,FALSE)*'Program Activity-Rev'!AO14</f>
        <v>880.74</v>
      </c>
      <c r="AZ14" s="197">
        <f>HLOOKUP(AZ$2,'Baseline FRL'!$B$23:$O$28,6,FALSE)*'Program Activity-Rev'!AP14</f>
        <v>367.21999999999997</v>
      </c>
      <c r="BA14" s="197">
        <f>HLOOKUP(BA$2,'Baseline FRL'!$B$23:$O$28,6,FALSE)*'Program Activity-Rev'!AQ14</f>
        <v>28581.000000000004</v>
      </c>
      <c r="BB14" s="197">
        <f>HLOOKUP(BB$2,'Baseline FRL'!$B$23:$O$28,6,FALSE)*'Program Activity-Rev'!AR14</f>
        <v>0</v>
      </c>
      <c r="BC14" s="197">
        <f>HLOOKUP(BC$2,'Baseline FRL'!$B$23:$O$28,6,FALSE)*'Program Activity-Rev'!AS14</f>
        <v>7.2450000000000001</v>
      </c>
      <c r="BD14" s="197">
        <f>HLOOKUP(BD$2,'Baseline FRL'!$B$23:$O$28,6,FALSE)*'Program Activity-Rev'!AT14</f>
        <v>22391.530000000002</v>
      </c>
      <c r="BE14" s="197">
        <f>HLOOKUP(BE$2,'Baseline FRL'!$B$23:$O$28,6,FALSE)*'Program Activity-Rev'!AU14</f>
        <v>772.44999999999993</v>
      </c>
      <c r="BF14" s="198">
        <f t="shared" si="2"/>
        <v>1081581.655</v>
      </c>
    </row>
    <row r="15" spans="1:58" x14ac:dyDescent="0.3">
      <c r="A15" s="93" t="s">
        <v>401</v>
      </c>
      <c r="B15" s="92" t="s">
        <v>402</v>
      </c>
      <c r="C15" s="228" t="s">
        <v>407</v>
      </c>
      <c r="D15" s="229" t="s">
        <v>410</v>
      </c>
      <c r="E15" s="229" t="s">
        <v>131</v>
      </c>
      <c r="F15" s="93" t="s">
        <v>44</v>
      </c>
      <c r="G15" s="93" t="s">
        <v>106</v>
      </c>
      <c r="H15" s="189">
        <f>HLOOKUP(H$2,'Baseline FRL'!$B$23:$O$28,5,FALSE)</f>
        <v>66475</v>
      </c>
      <c r="I15" s="189">
        <f>HLOOKUP(I$2,'Baseline FRL'!$B$23:$O$28,5,FALSE)</f>
        <v>25443</v>
      </c>
      <c r="J15" s="189">
        <f>HLOOKUP(J$2,'Baseline FRL'!$B$23:$O$28,5,FALSE)</f>
        <v>7258</v>
      </c>
      <c r="K15" s="189">
        <f>HLOOKUP(K$2,'Baseline FRL'!$B$23:$O$28,5,FALSE)</f>
        <v>500</v>
      </c>
      <c r="L15" s="189">
        <f>HLOOKUP(L$2,'Baseline FRL'!$B$23:$O$28,5,FALSE)</f>
        <v>215</v>
      </c>
      <c r="M15" s="189">
        <f>HLOOKUP(M$2,'Baseline FRL'!$B$23:$O$28,5,FALSE)</f>
        <v>3928</v>
      </c>
      <c r="N15" s="189">
        <f>HLOOKUP(N$2,'Baseline FRL'!$B$23:$O$28,5,FALSE)</f>
        <v>508</v>
      </c>
      <c r="O15" s="189">
        <f>HLOOKUP(O$2,'Baseline FRL'!$B$23:$O$28,5,FALSE)</f>
        <v>5</v>
      </c>
      <c r="P15" s="189">
        <f>HLOOKUP(P$2,'Baseline FRL'!$B$23:$O$28,5,FALSE)</f>
        <v>1786</v>
      </c>
      <c r="Q15" s="189">
        <f>HLOOKUP(Q$2,'Baseline FRL'!$B$23:$O$28,5,FALSE)</f>
        <v>528</v>
      </c>
      <c r="R15" s="191">
        <f>HLOOKUP(R$3,'Implementing Areas'!$B$53:$K$64,2,FALSE)</f>
        <v>1</v>
      </c>
      <c r="S15" s="191">
        <f>HLOOKUP(S$3,'Implementing Areas'!$B$53:$K$64,2,FALSE)</f>
        <v>1</v>
      </c>
      <c r="T15" s="191">
        <f>HLOOKUP(T$3,'Implementing Areas'!$B$53:$K$64,2,FALSE)</f>
        <v>1</v>
      </c>
      <c r="U15" s="191">
        <f>HLOOKUP(U$3,'Implementing Areas'!$B$53:$K$64,2,FALSE)</f>
        <v>1</v>
      </c>
      <c r="V15" s="191">
        <f>HLOOKUP(V$3,'Implementing Areas'!$B$53:$K$64,2,FALSE)</f>
        <v>1</v>
      </c>
      <c r="W15" s="191">
        <f>HLOOKUP(W$3,'Implementing Areas'!$B$53:$K$64,2,FALSE)</f>
        <v>1</v>
      </c>
      <c r="X15" s="191">
        <f>HLOOKUP(X$3,'Implementing Areas'!$B$53:$K$64,2,FALSE)</f>
        <v>0</v>
      </c>
      <c r="Y15" s="191">
        <f>HLOOKUP(Y$3,'Implementing Areas'!$B$53:$K$64,2,FALSE)</f>
        <v>1</v>
      </c>
      <c r="Z15" s="191">
        <f>HLOOKUP(Z$3,'Implementing Areas'!$B$53:$K$64,2,FALSE)</f>
        <v>1</v>
      </c>
      <c r="AA15" s="191">
        <f>HLOOKUP(AA$3,'Implementing Areas'!$B$53:$K$64,2,FALSE)</f>
        <v>1</v>
      </c>
      <c r="AB15" s="193">
        <f>(VLOOKUP($F15,'ER Target'!$C$3:$D$10,2,FALSE))*'Program Activity-Rev'!R15*'ER Target'!$D$12</f>
        <v>3.5000000000000003E-2</v>
      </c>
      <c r="AC15" s="193">
        <f>(VLOOKUP($F15,'ER Target'!$C$3:$D$10,2,FALSE))*'Program Activity-Rev'!S15*'ER Target'!$D$12</f>
        <v>3.5000000000000003E-2</v>
      </c>
      <c r="AD15" s="193">
        <f>(VLOOKUP($F15,'ER Target'!$C$3:$D$10,2,FALSE))*'Program Activity-Rev'!T15*'ER Target'!$D$12</f>
        <v>3.5000000000000003E-2</v>
      </c>
      <c r="AE15" s="193">
        <f>(VLOOKUP($F15,'ER Target'!$C$3:$D$10,2,FALSE))*'Program Activity-Rev'!U15*'ER Target'!$D$12</f>
        <v>3.5000000000000003E-2</v>
      </c>
      <c r="AF15" s="193">
        <f>(VLOOKUP($F15,'ER Target'!$C$3:$D$10,2,FALSE))*'Program Activity-Rev'!V15*'ER Target'!$D$12</f>
        <v>3.5000000000000003E-2</v>
      </c>
      <c r="AG15" s="193">
        <f>(VLOOKUP($F15,'ER Target'!$C$3:$D$10,2,FALSE))*'Program Activity-Rev'!W15*'ER Target'!$D$12</f>
        <v>3.5000000000000003E-2</v>
      </c>
      <c r="AH15" s="193">
        <f>(VLOOKUP($F15,'ER Target'!$C$3:$D$10,2,FALSE))*'Program Activity-Rev'!X15*'ER Target'!$D$12</f>
        <v>0</v>
      </c>
      <c r="AI15" s="193">
        <f>(VLOOKUP($F15,'ER Target'!$C$3:$D$10,2,FALSE))*'Program Activity-Rev'!Y15*'ER Target'!$D$12</f>
        <v>3.5000000000000003E-2</v>
      </c>
      <c r="AJ15" s="193">
        <f>(VLOOKUP($F15,'ER Target'!$C$3:$D$10,2,FALSE))*'Program Activity-Rev'!Z15*'ER Target'!$D$12</f>
        <v>3.5000000000000003E-2</v>
      </c>
      <c r="AK15" s="193">
        <f>(VLOOKUP($F15,'ER Target'!$C$3:$D$10,2,FALSE))*'Program Activity-Rev'!AA15*'ER Target'!$D$12</f>
        <v>3.5000000000000003E-2</v>
      </c>
      <c r="AL15" s="195">
        <f t="shared" si="1"/>
        <v>2326.625</v>
      </c>
      <c r="AM15" s="195">
        <f t="shared" si="0"/>
        <v>890.50500000000011</v>
      </c>
      <c r="AN15" s="195">
        <f t="shared" si="0"/>
        <v>254.03000000000003</v>
      </c>
      <c r="AO15" s="195">
        <f t="shared" si="0"/>
        <v>17.5</v>
      </c>
      <c r="AP15" s="195">
        <f t="shared" si="0"/>
        <v>7.5250000000000004</v>
      </c>
      <c r="AQ15" s="195">
        <f t="shared" si="0"/>
        <v>137.48000000000002</v>
      </c>
      <c r="AR15" s="195">
        <f t="shared" si="0"/>
        <v>0</v>
      </c>
      <c r="AS15" s="195">
        <f t="shared" si="0"/>
        <v>0.17500000000000002</v>
      </c>
      <c r="AT15" s="195">
        <f t="shared" si="0"/>
        <v>62.510000000000005</v>
      </c>
      <c r="AU15" s="195">
        <f t="shared" si="0"/>
        <v>18.48</v>
      </c>
      <c r="AV15" s="197">
        <f>HLOOKUP(AV$2,'Baseline FRL'!$B$23:$O$28,6,FALSE)*'Program Activity-Rev'!AL15</f>
        <v>865688.80999999994</v>
      </c>
      <c r="AW15" s="197">
        <f>HLOOKUP(AW$2,'Baseline FRL'!$B$23:$O$28,6,FALSE)*'Program Activity-Rev'!AM15</f>
        <v>33588.03</v>
      </c>
      <c r="AX15" s="197">
        <f>HLOOKUP(AX$2,'Baseline FRL'!$B$23:$O$28,6,FALSE)*'Program Activity-Rev'!AN15</f>
        <v>129304.63000000002</v>
      </c>
      <c r="AY15" s="197">
        <f>HLOOKUP(AY$2,'Baseline FRL'!$B$23:$O$28,6,FALSE)*'Program Activity-Rev'!AO15</f>
        <v>880.74</v>
      </c>
      <c r="AZ15" s="197">
        <f>HLOOKUP(AZ$2,'Baseline FRL'!$B$23:$O$28,6,FALSE)*'Program Activity-Rev'!AP15</f>
        <v>367.21999999999997</v>
      </c>
      <c r="BA15" s="197">
        <f>HLOOKUP(BA$2,'Baseline FRL'!$B$23:$O$28,6,FALSE)*'Program Activity-Rev'!AQ15</f>
        <v>28581.000000000004</v>
      </c>
      <c r="BB15" s="197">
        <f>HLOOKUP(BB$2,'Baseline FRL'!$B$23:$O$28,6,FALSE)*'Program Activity-Rev'!AR15</f>
        <v>0</v>
      </c>
      <c r="BC15" s="197">
        <f>HLOOKUP(BC$2,'Baseline FRL'!$B$23:$O$28,6,FALSE)*'Program Activity-Rev'!AS15</f>
        <v>7.2450000000000001</v>
      </c>
      <c r="BD15" s="197">
        <f>HLOOKUP(BD$2,'Baseline FRL'!$B$23:$O$28,6,FALSE)*'Program Activity-Rev'!AT15</f>
        <v>22391.530000000002</v>
      </c>
      <c r="BE15" s="197">
        <f>HLOOKUP(BE$2,'Baseline FRL'!$B$23:$O$28,6,FALSE)*'Program Activity-Rev'!AU15</f>
        <v>772.44999999999993</v>
      </c>
      <c r="BF15" s="198">
        <f t="shared" si="2"/>
        <v>1081581.655</v>
      </c>
    </row>
    <row r="16" spans="1:58" x14ac:dyDescent="0.3">
      <c r="A16" s="93" t="s">
        <v>401</v>
      </c>
      <c r="B16" s="92" t="s">
        <v>402</v>
      </c>
      <c r="C16" s="228" t="s">
        <v>407</v>
      </c>
      <c r="D16" s="229" t="s">
        <v>411</v>
      </c>
      <c r="E16" s="229" t="s">
        <v>132</v>
      </c>
      <c r="F16" s="93" t="s">
        <v>44</v>
      </c>
      <c r="G16" s="93" t="s">
        <v>106</v>
      </c>
      <c r="H16" s="189">
        <f>HLOOKUP(H$2,'Baseline FRL'!$B$23:$O$28,5,FALSE)</f>
        <v>66475</v>
      </c>
      <c r="I16" s="189">
        <f>HLOOKUP(I$2,'Baseline FRL'!$B$23:$O$28,5,FALSE)</f>
        <v>25443</v>
      </c>
      <c r="J16" s="189">
        <f>HLOOKUP(J$2,'Baseline FRL'!$B$23:$O$28,5,FALSE)</f>
        <v>7258</v>
      </c>
      <c r="K16" s="189">
        <f>HLOOKUP(K$2,'Baseline FRL'!$B$23:$O$28,5,FALSE)</f>
        <v>500</v>
      </c>
      <c r="L16" s="189">
        <f>HLOOKUP(L$2,'Baseline FRL'!$B$23:$O$28,5,FALSE)</f>
        <v>215</v>
      </c>
      <c r="M16" s="189">
        <f>HLOOKUP(M$2,'Baseline FRL'!$B$23:$O$28,5,FALSE)</f>
        <v>3928</v>
      </c>
      <c r="N16" s="189">
        <f>HLOOKUP(N$2,'Baseline FRL'!$B$23:$O$28,5,FALSE)</f>
        <v>508</v>
      </c>
      <c r="O16" s="189">
        <f>HLOOKUP(O$2,'Baseline FRL'!$B$23:$O$28,5,FALSE)</f>
        <v>5</v>
      </c>
      <c r="P16" s="189">
        <f>HLOOKUP(P$2,'Baseline FRL'!$B$23:$O$28,5,FALSE)</f>
        <v>1786</v>
      </c>
      <c r="Q16" s="189">
        <f>HLOOKUP(Q$2,'Baseline FRL'!$B$23:$O$28,5,FALSE)</f>
        <v>528</v>
      </c>
      <c r="R16" s="191">
        <f>HLOOKUP(R$3,'Implementing Areas'!$B$53:$K$64,2,FALSE)</f>
        <v>1</v>
      </c>
      <c r="S16" s="191">
        <f>HLOOKUP(S$3,'Implementing Areas'!$B$53:$K$64,2,FALSE)</f>
        <v>1</v>
      </c>
      <c r="T16" s="191">
        <f>HLOOKUP(T$3,'Implementing Areas'!$B$53:$K$64,2,FALSE)</f>
        <v>1</v>
      </c>
      <c r="U16" s="191">
        <f>HLOOKUP(U$3,'Implementing Areas'!$B$53:$K$64,2,FALSE)</f>
        <v>1</v>
      </c>
      <c r="V16" s="191">
        <f>HLOOKUP(V$3,'Implementing Areas'!$B$53:$K$64,2,FALSE)</f>
        <v>1</v>
      </c>
      <c r="W16" s="191">
        <f>HLOOKUP(W$3,'Implementing Areas'!$B$53:$K$64,2,FALSE)</f>
        <v>1</v>
      </c>
      <c r="X16" s="191">
        <f>HLOOKUP(X$3,'Implementing Areas'!$B$53:$K$64,2,FALSE)</f>
        <v>0</v>
      </c>
      <c r="Y16" s="191">
        <f>HLOOKUP(Y$3,'Implementing Areas'!$B$53:$K$64,2,FALSE)</f>
        <v>1</v>
      </c>
      <c r="Z16" s="191">
        <f>HLOOKUP(Z$3,'Implementing Areas'!$B$53:$K$64,2,FALSE)</f>
        <v>1</v>
      </c>
      <c r="AA16" s="191">
        <f>HLOOKUP(AA$3,'Implementing Areas'!$B$53:$K$64,2,FALSE)</f>
        <v>1</v>
      </c>
      <c r="AB16" s="193">
        <f>(VLOOKUP($F16,'ER Target'!$C$3:$D$10,2,FALSE))*'Program Activity-Rev'!R16*'ER Target'!$D$12</f>
        <v>3.5000000000000003E-2</v>
      </c>
      <c r="AC16" s="193">
        <f>(VLOOKUP($F16,'ER Target'!$C$3:$D$10,2,FALSE))*'Program Activity-Rev'!S16*'ER Target'!$D$12</f>
        <v>3.5000000000000003E-2</v>
      </c>
      <c r="AD16" s="193">
        <f>(VLOOKUP($F16,'ER Target'!$C$3:$D$10,2,FALSE))*'Program Activity-Rev'!T16*'ER Target'!$D$12</f>
        <v>3.5000000000000003E-2</v>
      </c>
      <c r="AE16" s="193">
        <f>(VLOOKUP($F16,'ER Target'!$C$3:$D$10,2,FALSE))*'Program Activity-Rev'!U16*'ER Target'!$D$12</f>
        <v>3.5000000000000003E-2</v>
      </c>
      <c r="AF16" s="193">
        <f>(VLOOKUP($F16,'ER Target'!$C$3:$D$10,2,FALSE))*'Program Activity-Rev'!V16*'ER Target'!$D$12</f>
        <v>3.5000000000000003E-2</v>
      </c>
      <c r="AG16" s="193">
        <f>(VLOOKUP($F16,'ER Target'!$C$3:$D$10,2,FALSE))*'Program Activity-Rev'!W16*'ER Target'!$D$12</f>
        <v>3.5000000000000003E-2</v>
      </c>
      <c r="AH16" s="193">
        <f>(VLOOKUP($F16,'ER Target'!$C$3:$D$10,2,FALSE))*'Program Activity-Rev'!X16*'ER Target'!$D$12</f>
        <v>0</v>
      </c>
      <c r="AI16" s="193">
        <f>(VLOOKUP($F16,'ER Target'!$C$3:$D$10,2,FALSE))*'Program Activity-Rev'!Y16*'ER Target'!$D$12</f>
        <v>3.5000000000000003E-2</v>
      </c>
      <c r="AJ16" s="193">
        <f>(VLOOKUP($F16,'ER Target'!$C$3:$D$10,2,FALSE))*'Program Activity-Rev'!Z16*'ER Target'!$D$12</f>
        <v>3.5000000000000003E-2</v>
      </c>
      <c r="AK16" s="193">
        <f>(VLOOKUP($F16,'ER Target'!$C$3:$D$10,2,FALSE))*'Program Activity-Rev'!AA16*'ER Target'!$D$12</f>
        <v>3.5000000000000003E-2</v>
      </c>
      <c r="AL16" s="195">
        <f t="shared" si="1"/>
        <v>2326.625</v>
      </c>
      <c r="AM16" s="195">
        <f t="shared" si="0"/>
        <v>890.50500000000011</v>
      </c>
      <c r="AN16" s="195">
        <f t="shared" si="0"/>
        <v>254.03000000000003</v>
      </c>
      <c r="AO16" s="195">
        <f t="shared" si="0"/>
        <v>17.5</v>
      </c>
      <c r="AP16" s="195">
        <f t="shared" si="0"/>
        <v>7.5250000000000004</v>
      </c>
      <c r="AQ16" s="195">
        <f t="shared" si="0"/>
        <v>137.48000000000002</v>
      </c>
      <c r="AR16" s="195">
        <f t="shared" si="0"/>
        <v>0</v>
      </c>
      <c r="AS16" s="195">
        <f t="shared" si="0"/>
        <v>0.17500000000000002</v>
      </c>
      <c r="AT16" s="195">
        <f t="shared" si="0"/>
        <v>62.510000000000005</v>
      </c>
      <c r="AU16" s="195">
        <f t="shared" si="0"/>
        <v>18.48</v>
      </c>
      <c r="AV16" s="197">
        <f>HLOOKUP(AV$2,'Baseline FRL'!$B$23:$O$28,6,FALSE)*'Program Activity-Rev'!AL16</f>
        <v>865688.80999999994</v>
      </c>
      <c r="AW16" s="197">
        <f>HLOOKUP(AW$2,'Baseline FRL'!$B$23:$O$28,6,FALSE)*'Program Activity-Rev'!AM16</f>
        <v>33588.03</v>
      </c>
      <c r="AX16" s="197">
        <f>HLOOKUP(AX$2,'Baseline FRL'!$B$23:$O$28,6,FALSE)*'Program Activity-Rev'!AN16</f>
        <v>129304.63000000002</v>
      </c>
      <c r="AY16" s="197">
        <f>HLOOKUP(AY$2,'Baseline FRL'!$B$23:$O$28,6,FALSE)*'Program Activity-Rev'!AO16</f>
        <v>880.74</v>
      </c>
      <c r="AZ16" s="197">
        <f>HLOOKUP(AZ$2,'Baseline FRL'!$B$23:$O$28,6,FALSE)*'Program Activity-Rev'!AP16</f>
        <v>367.21999999999997</v>
      </c>
      <c r="BA16" s="197">
        <f>HLOOKUP(BA$2,'Baseline FRL'!$B$23:$O$28,6,FALSE)*'Program Activity-Rev'!AQ16</f>
        <v>28581.000000000004</v>
      </c>
      <c r="BB16" s="197">
        <f>HLOOKUP(BB$2,'Baseline FRL'!$B$23:$O$28,6,FALSE)*'Program Activity-Rev'!AR16</f>
        <v>0</v>
      </c>
      <c r="BC16" s="197">
        <f>HLOOKUP(BC$2,'Baseline FRL'!$B$23:$O$28,6,FALSE)*'Program Activity-Rev'!AS16</f>
        <v>7.2450000000000001</v>
      </c>
      <c r="BD16" s="197">
        <f>HLOOKUP(BD$2,'Baseline FRL'!$B$23:$O$28,6,FALSE)*'Program Activity-Rev'!AT16</f>
        <v>22391.530000000002</v>
      </c>
      <c r="BE16" s="197">
        <f>HLOOKUP(BE$2,'Baseline FRL'!$B$23:$O$28,6,FALSE)*'Program Activity-Rev'!AU16</f>
        <v>772.44999999999993</v>
      </c>
      <c r="BF16" s="198">
        <f t="shared" si="2"/>
        <v>1081581.655</v>
      </c>
    </row>
    <row r="17" spans="1:58" s="6" customFormat="1" ht="28.8" x14ac:dyDescent="0.3">
      <c r="A17" s="93" t="s">
        <v>401</v>
      </c>
      <c r="B17" s="91" t="s">
        <v>402</v>
      </c>
      <c r="C17" s="227" t="s">
        <v>412</v>
      </c>
      <c r="D17" s="227"/>
      <c r="E17" s="227" t="s">
        <v>247</v>
      </c>
      <c r="F17" s="89" t="s">
        <v>44</v>
      </c>
      <c r="G17" s="89" t="s">
        <v>106</v>
      </c>
      <c r="H17" s="189">
        <f>HLOOKUP(H$2,'Baseline FRL'!$B$23:$O$28,5,FALSE)</f>
        <v>66475</v>
      </c>
      <c r="I17" s="189">
        <f>HLOOKUP(I$2,'Baseline FRL'!$B$23:$O$28,5,FALSE)</f>
        <v>25443</v>
      </c>
      <c r="J17" s="189">
        <f>HLOOKUP(J$2,'Baseline FRL'!$B$23:$O$28,5,FALSE)</f>
        <v>7258</v>
      </c>
      <c r="K17" s="189">
        <f>HLOOKUP(K$2,'Baseline FRL'!$B$23:$O$28,5,FALSE)</f>
        <v>500</v>
      </c>
      <c r="L17" s="189">
        <f>HLOOKUP(L$2,'Baseline FRL'!$B$23:$O$28,5,FALSE)</f>
        <v>215</v>
      </c>
      <c r="M17" s="189">
        <f>HLOOKUP(M$2,'Baseline FRL'!$B$23:$O$28,5,FALSE)</f>
        <v>3928</v>
      </c>
      <c r="N17" s="189">
        <f>HLOOKUP(N$2,'Baseline FRL'!$B$23:$O$28,5,FALSE)</f>
        <v>508</v>
      </c>
      <c r="O17" s="189">
        <f>HLOOKUP(O$2,'Baseline FRL'!$B$23:$O$28,5,FALSE)</f>
        <v>5</v>
      </c>
      <c r="P17" s="189">
        <f>HLOOKUP(P$2,'Baseline FRL'!$B$23:$O$28,5,FALSE)</f>
        <v>1786</v>
      </c>
      <c r="Q17" s="189">
        <f>HLOOKUP(Q$2,'Baseline FRL'!$B$23:$O$28,5,FALSE)</f>
        <v>528</v>
      </c>
      <c r="R17" s="191">
        <f>HLOOKUP(R$3,'Implementing Areas'!$B$53:$K$64,2,FALSE)</f>
        <v>1</v>
      </c>
      <c r="S17" s="191">
        <f>HLOOKUP(S$3,'Implementing Areas'!$B$53:$K$64,2,FALSE)</f>
        <v>1</v>
      </c>
      <c r="T17" s="191">
        <f>HLOOKUP(T$3,'Implementing Areas'!$B$53:$K$64,2,FALSE)</f>
        <v>1</v>
      </c>
      <c r="U17" s="191">
        <f>HLOOKUP(U$3,'Implementing Areas'!$B$53:$K$64,2,FALSE)</f>
        <v>1</v>
      </c>
      <c r="V17" s="191">
        <f>HLOOKUP(V$3,'Implementing Areas'!$B$53:$K$64,2,FALSE)</f>
        <v>1</v>
      </c>
      <c r="W17" s="191">
        <f>HLOOKUP(W$3,'Implementing Areas'!$B$53:$K$64,2,FALSE)</f>
        <v>1</v>
      </c>
      <c r="X17" s="191">
        <f>HLOOKUP(X$3,'Implementing Areas'!$B$53:$K$64,2,FALSE)</f>
        <v>0</v>
      </c>
      <c r="Y17" s="191">
        <f>HLOOKUP(Y$3,'Implementing Areas'!$B$53:$K$64,2,FALSE)</f>
        <v>1</v>
      </c>
      <c r="Z17" s="191">
        <f>HLOOKUP(Z$3,'Implementing Areas'!$B$53:$K$64,2,FALSE)</f>
        <v>1</v>
      </c>
      <c r="AA17" s="191">
        <f>HLOOKUP(AA$3,'Implementing Areas'!$B$53:$K$64,2,FALSE)</f>
        <v>1</v>
      </c>
      <c r="AB17" s="193">
        <f>(VLOOKUP($F17,'ER Target'!$C$3:$D$10,2,FALSE))*'Program Activity-Rev'!R17*'ER Target'!$D$12</f>
        <v>3.5000000000000003E-2</v>
      </c>
      <c r="AC17" s="193">
        <f>(VLOOKUP($F17,'ER Target'!$C$3:$D$10,2,FALSE))*'Program Activity-Rev'!S17*'ER Target'!$D$12</f>
        <v>3.5000000000000003E-2</v>
      </c>
      <c r="AD17" s="193">
        <f>(VLOOKUP($F17,'ER Target'!$C$3:$D$10,2,FALSE))*'Program Activity-Rev'!T17*'ER Target'!$D$12</f>
        <v>3.5000000000000003E-2</v>
      </c>
      <c r="AE17" s="193">
        <f>(VLOOKUP($F17,'ER Target'!$C$3:$D$10,2,FALSE))*'Program Activity-Rev'!U17*'ER Target'!$D$12</f>
        <v>3.5000000000000003E-2</v>
      </c>
      <c r="AF17" s="193">
        <f>(VLOOKUP($F17,'ER Target'!$C$3:$D$10,2,FALSE))*'Program Activity-Rev'!V17*'ER Target'!$D$12</f>
        <v>3.5000000000000003E-2</v>
      </c>
      <c r="AG17" s="193">
        <f>(VLOOKUP($F17,'ER Target'!$C$3:$D$10,2,FALSE))*'Program Activity-Rev'!W17*'ER Target'!$D$12</f>
        <v>3.5000000000000003E-2</v>
      </c>
      <c r="AH17" s="193">
        <f>(VLOOKUP($F17,'ER Target'!$C$3:$D$10,2,FALSE))*'Program Activity-Rev'!X17*'ER Target'!$D$12</f>
        <v>0</v>
      </c>
      <c r="AI17" s="193">
        <f>(VLOOKUP($F17,'ER Target'!$C$3:$D$10,2,FALSE))*'Program Activity-Rev'!Y17*'ER Target'!$D$12</f>
        <v>3.5000000000000003E-2</v>
      </c>
      <c r="AJ17" s="193">
        <f>(VLOOKUP($F17,'ER Target'!$C$3:$D$10,2,FALSE))*'Program Activity-Rev'!Z17*'ER Target'!$D$12</f>
        <v>3.5000000000000003E-2</v>
      </c>
      <c r="AK17" s="193">
        <f>(VLOOKUP($F17,'ER Target'!$C$3:$D$10,2,FALSE))*'Program Activity-Rev'!AA17*'ER Target'!$D$12</f>
        <v>3.5000000000000003E-2</v>
      </c>
      <c r="AL17" s="195">
        <f t="shared" si="1"/>
        <v>2326.625</v>
      </c>
      <c r="AM17" s="195">
        <f t="shared" si="0"/>
        <v>890.50500000000011</v>
      </c>
      <c r="AN17" s="195">
        <f t="shared" si="0"/>
        <v>254.03000000000003</v>
      </c>
      <c r="AO17" s="195">
        <f t="shared" si="0"/>
        <v>17.5</v>
      </c>
      <c r="AP17" s="195">
        <f t="shared" si="0"/>
        <v>7.5250000000000004</v>
      </c>
      <c r="AQ17" s="195">
        <f t="shared" si="0"/>
        <v>137.48000000000002</v>
      </c>
      <c r="AR17" s="195">
        <f t="shared" si="0"/>
        <v>0</v>
      </c>
      <c r="AS17" s="195">
        <f t="shared" si="0"/>
        <v>0.17500000000000002</v>
      </c>
      <c r="AT17" s="195">
        <f t="shared" si="0"/>
        <v>62.510000000000005</v>
      </c>
      <c r="AU17" s="195">
        <f t="shared" si="0"/>
        <v>18.48</v>
      </c>
      <c r="AV17" s="197"/>
      <c r="AW17" s="197"/>
      <c r="AX17" s="197"/>
      <c r="AY17" s="197"/>
      <c r="AZ17" s="197"/>
      <c r="BA17" s="197"/>
      <c r="BB17" s="197"/>
      <c r="BC17" s="197"/>
      <c r="BD17" s="197"/>
      <c r="BE17" s="197"/>
      <c r="BF17" s="198"/>
    </row>
    <row r="18" spans="1:58" ht="28.8" x14ac:dyDescent="0.3">
      <c r="A18" s="93" t="s">
        <v>401</v>
      </c>
      <c r="B18" s="92" t="s">
        <v>402</v>
      </c>
      <c r="C18" s="229" t="s">
        <v>412</v>
      </c>
      <c r="D18" s="229" t="s">
        <v>413</v>
      </c>
      <c r="E18" s="229" t="s">
        <v>133</v>
      </c>
      <c r="F18" s="93" t="s">
        <v>44</v>
      </c>
      <c r="G18" s="93" t="s">
        <v>106</v>
      </c>
      <c r="H18" s="189">
        <f>HLOOKUP(H$2,'Baseline FRL'!$B$23:$O$28,5,FALSE)</f>
        <v>66475</v>
      </c>
      <c r="I18" s="189">
        <f>HLOOKUP(I$2,'Baseline FRL'!$B$23:$O$28,5,FALSE)</f>
        <v>25443</v>
      </c>
      <c r="J18" s="189">
        <f>HLOOKUP(J$2,'Baseline FRL'!$B$23:$O$28,5,FALSE)</f>
        <v>7258</v>
      </c>
      <c r="K18" s="189">
        <f>HLOOKUP(K$2,'Baseline FRL'!$B$23:$O$28,5,FALSE)</f>
        <v>500</v>
      </c>
      <c r="L18" s="189">
        <f>HLOOKUP(L$2,'Baseline FRL'!$B$23:$O$28,5,FALSE)</f>
        <v>215</v>
      </c>
      <c r="M18" s="189">
        <f>HLOOKUP(M$2,'Baseline FRL'!$B$23:$O$28,5,FALSE)</f>
        <v>3928</v>
      </c>
      <c r="N18" s="189">
        <f>HLOOKUP(N$2,'Baseline FRL'!$B$23:$O$28,5,FALSE)</f>
        <v>508</v>
      </c>
      <c r="O18" s="189">
        <f>HLOOKUP(O$2,'Baseline FRL'!$B$23:$O$28,5,FALSE)</f>
        <v>5</v>
      </c>
      <c r="P18" s="189">
        <f>HLOOKUP(P$2,'Baseline FRL'!$B$23:$O$28,5,FALSE)</f>
        <v>1786</v>
      </c>
      <c r="Q18" s="189">
        <f>HLOOKUP(Q$2,'Baseline FRL'!$B$23:$O$28,5,FALSE)</f>
        <v>528</v>
      </c>
      <c r="R18" s="191">
        <f>HLOOKUP(R$3,'Implementing Areas'!$B$53:$K$64,2,FALSE)</f>
        <v>1</v>
      </c>
      <c r="S18" s="191">
        <f>HLOOKUP(S$3,'Implementing Areas'!$B$53:$K$64,2,FALSE)</f>
        <v>1</v>
      </c>
      <c r="T18" s="191">
        <f>HLOOKUP(T$3,'Implementing Areas'!$B$53:$K$64,2,FALSE)</f>
        <v>1</v>
      </c>
      <c r="U18" s="191">
        <f>HLOOKUP(U$3,'Implementing Areas'!$B$53:$K$64,2,FALSE)</f>
        <v>1</v>
      </c>
      <c r="V18" s="191">
        <f>HLOOKUP(V$3,'Implementing Areas'!$B$53:$K$64,2,FALSE)</f>
        <v>1</v>
      </c>
      <c r="W18" s="191">
        <f>HLOOKUP(W$3,'Implementing Areas'!$B$53:$K$64,2,FALSE)</f>
        <v>1</v>
      </c>
      <c r="X18" s="191">
        <f>HLOOKUP(X$3,'Implementing Areas'!$B$53:$K$64,2,FALSE)</f>
        <v>0</v>
      </c>
      <c r="Y18" s="191">
        <f>HLOOKUP(Y$3,'Implementing Areas'!$B$53:$K$64,2,FALSE)</f>
        <v>1</v>
      </c>
      <c r="Z18" s="191">
        <f>HLOOKUP(Z$3,'Implementing Areas'!$B$53:$K$64,2,FALSE)</f>
        <v>1</v>
      </c>
      <c r="AA18" s="191">
        <f>HLOOKUP(AA$3,'Implementing Areas'!$B$53:$K$64,2,FALSE)</f>
        <v>1</v>
      </c>
      <c r="AB18" s="193">
        <f>(VLOOKUP($F18,'ER Target'!$C$3:$D$10,2,FALSE))*'Program Activity-Rev'!R18*'ER Target'!$D$12</f>
        <v>3.5000000000000003E-2</v>
      </c>
      <c r="AC18" s="193">
        <f>(VLOOKUP($F18,'ER Target'!$C$3:$D$10,2,FALSE))*'Program Activity-Rev'!S18*'ER Target'!$D$12</f>
        <v>3.5000000000000003E-2</v>
      </c>
      <c r="AD18" s="193">
        <f>(VLOOKUP($F18,'ER Target'!$C$3:$D$10,2,FALSE))*'Program Activity-Rev'!T18*'ER Target'!$D$12</f>
        <v>3.5000000000000003E-2</v>
      </c>
      <c r="AE18" s="193">
        <f>(VLOOKUP($F18,'ER Target'!$C$3:$D$10,2,FALSE))*'Program Activity-Rev'!U18*'ER Target'!$D$12</f>
        <v>3.5000000000000003E-2</v>
      </c>
      <c r="AF18" s="193">
        <f>(VLOOKUP($F18,'ER Target'!$C$3:$D$10,2,FALSE))*'Program Activity-Rev'!V18*'ER Target'!$D$12</f>
        <v>3.5000000000000003E-2</v>
      </c>
      <c r="AG18" s="193">
        <f>(VLOOKUP($F18,'ER Target'!$C$3:$D$10,2,FALSE))*'Program Activity-Rev'!W18*'ER Target'!$D$12</f>
        <v>3.5000000000000003E-2</v>
      </c>
      <c r="AH18" s="193">
        <f>(VLOOKUP($F18,'ER Target'!$C$3:$D$10,2,FALSE))*'Program Activity-Rev'!X18*'ER Target'!$D$12</f>
        <v>0</v>
      </c>
      <c r="AI18" s="193">
        <f>(VLOOKUP($F18,'ER Target'!$C$3:$D$10,2,FALSE))*'Program Activity-Rev'!Y18*'ER Target'!$D$12</f>
        <v>3.5000000000000003E-2</v>
      </c>
      <c r="AJ18" s="193">
        <f>(VLOOKUP($F18,'ER Target'!$C$3:$D$10,2,FALSE))*'Program Activity-Rev'!Z18*'ER Target'!$D$12</f>
        <v>3.5000000000000003E-2</v>
      </c>
      <c r="AK18" s="193">
        <f>(VLOOKUP($F18,'ER Target'!$C$3:$D$10,2,FALSE))*'Program Activity-Rev'!AA18*'ER Target'!$D$12</f>
        <v>3.5000000000000003E-2</v>
      </c>
      <c r="AL18" s="195">
        <f t="shared" si="1"/>
        <v>2326.625</v>
      </c>
      <c r="AM18" s="195">
        <f t="shared" si="0"/>
        <v>890.50500000000011</v>
      </c>
      <c r="AN18" s="195">
        <f t="shared" si="0"/>
        <v>254.03000000000003</v>
      </c>
      <c r="AO18" s="195">
        <f t="shared" si="0"/>
        <v>17.5</v>
      </c>
      <c r="AP18" s="195">
        <f t="shared" si="0"/>
        <v>7.5250000000000004</v>
      </c>
      <c r="AQ18" s="195">
        <f t="shared" si="0"/>
        <v>137.48000000000002</v>
      </c>
      <c r="AR18" s="195">
        <f t="shared" si="0"/>
        <v>0</v>
      </c>
      <c r="AS18" s="195">
        <f t="shared" si="0"/>
        <v>0.17500000000000002</v>
      </c>
      <c r="AT18" s="195">
        <f t="shared" si="0"/>
        <v>62.510000000000005</v>
      </c>
      <c r="AU18" s="195">
        <f t="shared" si="0"/>
        <v>18.48</v>
      </c>
      <c r="AV18" s="197">
        <f>HLOOKUP(AV$2,'Baseline FRL'!$B$23:$O$28,6,FALSE)*'Program Activity-Rev'!AL18</f>
        <v>865688.80999999994</v>
      </c>
      <c r="AW18" s="197">
        <f>HLOOKUP(AW$2,'Baseline FRL'!$B$23:$O$28,6,FALSE)*'Program Activity-Rev'!AM18</f>
        <v>33588.03</v>
      </c>
      <c r="AX18" s="197">
        <f>HLOOKUP(AX$2,'Baseline FRL'!$B$23:$O$28,6,FALSE)*'Program Activity-Rev'!AN18</f>
        <v>129304.63000000002</v>
      </c>
      <c r="AY18" s="197">
        <f>HLOOKUP(AY$2,'Baseline FRL'!$B$23:$O$28,6,FALSE)*'Program Activity-Rev'!AO18</f>
        <v>880.74</v>
      </c>
      <c r="AZ18" s="197">
        <f>HLOOKUP(AZ$2,'Baseline FRL'!$B$23:$O$28,6,FALSE)*'Program Activity-Rev'!AP18</f>
        <v>367.21999999999997</v>
      </c>
      <c r="BA18" s="197">
        <f>HLOOKUP(BA$2,'Baseline FRL'!$B$23:$O$28,6,FALSE)*'Program Activity-Rev'!AQ18</f>
        <v>28581.000000000004</v>
      </c>
      <c r="BB18" s="197">
        <f>HLOOKUP(BB$2,'Baseline FRL'!$B$23:$O$28,6,FALSE)*'Program Activity-Rev'!AR18</f>
        <v>0</v>
      </c>
      <c r="BC18" s="197">
        <f>HLOOKUP(BC$2,'Baseline FRL'!$B$23:$O$28,6,FALSE)*'Program Activity-Rev'!AS18</f>
        <v>7.2450000000000001</v>
      </c>
      <c r="BD18" s="197">
        <f>HLOOKUP(BD$2,'Baseline FRL'!$B$23:$O$28,6,FALSE)*'Program Activity-Rev'!AT18</f>
        <v>22391.530000000002</v>
      </c>
      <c r="BE18" s="197">
        <f>HLOOKUP(BE$2,'Baseline FRL'!$B$23:$O$28,6,FALSE)*'Program Activity-Rev'!AU18</f>
        <v>772.44999999999993</v>
      </c>
      <c r="BF18" s="198">
        <f t="shared" si="2"/>
        <v>1081581.655</v>
      </c>
    </row>
    <row r="19" spans="1:58" ht="28.8" x14ac:dyDescent="0.3">
      <c r="A19" s="93" t="s">
        <v>401</v>
      </c>
      <c r="B19" s="92" t="s">
        <v>402</v>
      </c>
      <c r="C19" s="229" t="s">
        <v>412</v>
      </c>
      <c r="D19" s="229" t="s">
        <v>414</v>
      </c>
      <c r="E19" s="229" t="s">
        <v>134</v>
      </c>
      <c r="F19" s="93" t="s">
        <v>44</v>
      </c>
      <c r="G19" s="93" t="s">
        <v>106</v>
      </c>
      <c r="H19" s="189">
        <f>HLOOKUP(H$2,'Baseline FRL'!$B$23:$O$28,5,FALSE)</f>
        <v>66475</v>
      </c>
      <c r="I19" s="189">
        <f>HLOOKUP(I$2,'Baseline FRL'!$B$23:$O$28,5,FALSE)</f>
        <v>25443</v>
      </c>
      <c r="J19" s="189">
        <f>HLOOKUP(J$2,'Baseline FRL'!$B$23:$O$28,5,FALSE)</f>
        <v>7258</v>
      </c>
      <c r="K19" s="189">
        <f>HLOOKUP(K$2,'Baseline FRL'!$B$23:$O$28,5,FALSE)</f>
        <v>500</v>
      </c>
      <c r="L19" s="189">
        <f>HLOOKUP(L$2,'Baseline FRL'!$B$23:$O$28,5,FALSE)</f>
        <v>215</v>
      </c>
      <c r="M19" s="189">
        <f>HLOOKUP(M$2,'Baseline FRL'!$B$23:$O$28,5,FALSE)</f>
        <v>3928</v>
      </c>
      <c r="N19" s="189">
        <f>HLOOKUP(N$2,'Baseline FRL'!$B$23:$O$28,5,FALSE)</f>
        <v>508</v>
      </c>
      <c r="O19" s="189">
        <f>HLOOKUP(O$2,'Baseline FRL'!$B$23:$O$28,5,FALSE)</f>
        <v>5</v>
      </c>
      <c r="P19" s="189">
        <f>HLOOKUP(P$2,'Baseline FRL'!$B$23:$O$28,5,FALSE)</f>
        <v>1786</v>
      </c>
      <c r="Q19" s="189">
        <f>HLOOKUP(Q$2,'Baseline FRL'!$B$23:$O$28,5,FALSE)</f>
        <v>528</v>
      </c>
      <c r="R19" s="191">
        <f>HLOOKUP(R$3,'Implementing Areas'!$B$53:$K$64,2,FALSE)</f>
        <v>1</v>
      </c>
      <c r="S19" s="191">
        <f>HLOOKUP(S$3,'Implementing Areas'!$B$53:$K$64,2,FALSE)</f>
        <v>1</v>
      </c>
      <c r="T19" s="191">
        <f>HLOOKUP(T$3,'Implementing Areas'!$B$53:$K$64,2,FALSE)</f>
        <v>1</v>
      </c>
      <c r="U19" s="191">
        <f>HLOOKUP(U$3,'Implementing Areas'!$B$53:$K$64,2,FALSE)</f>
        <v>1</v>
      </c>
      <c r="V19" s="191">
        <f>HLOOKUP(V$3,'Implementing Areas'!$B$53:$K$64,2,FALSE)</f>
        <v>1</v>
      </c>
      <c r="W19" s="191">
        <f>HLOOKUP(W$3,'Implementing Areas'!$B$53:$K$64,2,FALSE)</f>
        <v>1</v>
      </c>
      <c r="X19" s="191">
        <f>HLOOKUP(X$3,'Implementing Areas'!$B$53:$K$64,2,FALSE)</f>
        <v>0</v>
      </c>
      <c r="Y19" s="191">
        <f>HLOOKUP(Y$3,'Implementing Areas'!$B$53:$K$64,2,FALSE)</f>
        <v>1</v>
      </c>
      <c r="Z19" s="191">
        <f>HLOOKUP(Z$3,'Implementing Areas'!$B$53:$K$64,2,FALSE)</f>
        <v>1</v>
      </c>
      <c r="AA19" s="191">
        <f>HLOOKUP(AA$3,'Implementing Areas'!$B$53:$K$64,2,FALSE)</f>
        <v>1</v>
      </c>
      <c r="AB19" s="193">
        <f>(VLOOKUP($F19,'ER Target'!$C$3:$D$10,2,FALSE))*'Program Activity-Rev'!R19*'ER Target'!$D$12</f>
        <v>3.5000000000000003E-2</v>
      </c>
      <c r="AC19" s="193">
        <f>(VLOOKUP($F19,'ER Target'!$C$3:$D$10,2,FALSE))*'Program Activity-Rev'!S19*'ER Target'!$D$12</f>
        <v>3.5000000000000003E-2</v>
      </c>
      <c r="AD19" s="193">
        <f>(VLOOKUP($F19,'ER Target'!$C$3:$D$10,2,FALSE))*'Program Activity-Rev'!T19*'ER Target'!$D$12</f>
        <v>3.5000000000000003E-2</v>
      </c>
      <c r="AE19" s="193">
        <f>(VLOOKUP($F19,'ER Target'!$C$3:$D$10,2,FALSE))*'Program Activity-Rev'!U19*'ER Target'!$D$12</f>
        <v>3.5000000000000003E-2</v>
      </c>
      <c r="AF19" s="193">
        <f>(VLOOKUP($F19,'ER Target'!$C$3:$D$10,2,FALSE))*'Program Activity-Rev'!V19*'ER Target'!$D$12</f>
        <v>3.5000000000000003E-2</v>
      </c>
      <c r="AG19" s="193">
        <f>(VLOOKUP($F19,'ER Target'!$C$3:$D$10,2,FALSE))*'Program Activity-Rev'!W19*'ER Target'!$D$12</f>
        <v>3.5000000000000003E-2</v>
      </c>
      <c r="AH19" s="193">
        <f>(VLOOKUP($F19,'ER Target'!$C$3:$D$10,2,FALSE))*'Program Activity-Rev'!X19*'ER Target'!$D$12</f>
        <v>0</v>
      </c>
      <c r="AI19" s="193">
        <f>(VLOOKUP($F19,'ER Target'!$C$3:$D$10,2,FALSE))*'Program Activity-Rev'!Y19*'ER Target'!$D$12</f>
        <v>3.5000000000000003E-2</v>
      </c>
      <c r="AJ19" s="193">
        <f>(VLOOKUP($F19,'ER Target'!$C$3:$D$10,2,FALSE))*'Program Activity-Rev'!Z19*'ER Target'!$D$12</f>
        <v>3.5000000000000003E-2</v>
      </c>
      <c r="AK19" s="193">
        <f>(VLOOKUP($F19,'ER Target'!$C$3:$D$10,2,FALSE))*'Program Activity-Rev'!AA19*'ER Target'!$D$12</f>
        <v>3.5000000000000003E-2</v>
      </c>
      <c r="AL19" s="195">
        <f t="shared" si="1"/>
        <v>2326.625</v>
      </c>
      <c r="AM19" s="195">
        <f t="shared" si="0"/>
        <v>890.50500000000011</v>
      </c>
      <c r="AN19" s="195">
        <f t="shared" si="0"/>
        <v>254.03000000000003</v>
      </c>
      <c r="AO19" s="195">
        <f t="shared" si="0"/>
        <v>17.5</v>
      </c>
      <c r="AP19" s="195">
        <f t="shared" si="0"/>
        <v>7.5250000000000004</v>
      </c>
      <c r="AQ19" s="195">
        <f t="shared" si="0"/>
        <v>137.48000000000002</v>
      </c>
      <c r="AR19" s="195">
        <f t="shared" si="0"/>
        <v>0</v>
      </c>
      <c r="AS19" s="195">
        <f t="shared" si="0"/>
        <v>0.17500000000000002</v>
      </c>
      <c r="AT19" s="195">
        <f t="shared" si="0"/>
        <v>62.510000000000005</v>
      </c>
      <c r="AU19" s="195">
        <f t="shared" si="0"/>
        <v>18.48</v>
      </c>
      <c r="AV19" s="197">
        <f>HLOOKUP(AV$2,'Baseline FRL'!$B$23:$O$28,6,FALSE)*'Program Activity-Rev'!AL19</f>
        <v>865688.80999999994</v>
      </c>
      <c r="AW19" s="197">
        <f>HLOOKUP(AW$2,'Baseline FRL'!$B$23:$O$28,6,FALSE)*'Program Activity-Rev'!AM19</f>
        <v>33588.03</v>
      </c>
      <c r="AX19" s="197">
        <f>HLOOKUP(AX$2,'Baseline FRL'!$B$23:$O$28,6,FALSE)*'Program Activity-Rev'!AN19</f>
        <v>129304.63000000002</v>
      </c>
      <c r="AY19" s="197">
        <f>HLOOKUP(AY$2,'Baseline FRL'!$B$23:$O$28,6,FALSE)*'Program Activity-Rev'!AO19</f>
        <v>880.74</v>
      </c>
      <c r="AZ19" s="197">
        <f>HLOOKUP(AZ$2,'Baseline FRL'!$B$23:$O$28,6,FALSE)*'Program Activity-Rev'!AP19</f>
        <v>367.21999999999997</v>
      </c>
      <c r="BA19" s="197">
        <f>HLOOKUP(BA$2,'Baseline FRL'!$B$23:$O$28,6,FALSE)*'Program Activity-Rev'!AQ19</f>
        <v>28581.000000000004</v>
      </c>
      <c r="BB19" s="197">
        <f>HLOOKUP(BB$2,'Baseline FRL'!$B$23:$O$28,6,FALSE)*'Program Activity-Rev'!AR19</f>
        <v>0</v>
      </c>
      <c r="BC19" s="197">
        <f>HLOOKUP(BC$2,'Baseline FRL'!$B$23:$O$28,6,FALSE)*'Program Activity-Rev'!AS19</f>
        <v>7.2450000000000001</v>
      </c>
      <c r="BD19" s="197">
        <f>HLOOKUP(BD$2,'Baseline FRL'!$B$23:$O$28,6,FALSE)*'Program Activity-Rev'!AT19</f>
        <v>22391.530000000002</v>
      </c>
      <c r="BE19" s="197">
        <f>HLOOKUP(BE$2,'Baseline FRL'!$B$23:$O$28,6,FALSE)*'Program Activity-Rev'!AU19</f>
        <v>772.44999999999993</v>
      </c>
      <c r="BF19" s="198">
        <f t="shared" si="2"/>
        <v>1081581.655</v>
      </c>
    </row>
    <row r="20" spans="1:58" x14ac:dyDescent="0.3">
      <c r="A20" s="93" t="s">
        <v>401</v>
      </c>
      <c r="B20" s="92" t="s">
        <v>482</v>
      </c>
      <c r="C20" s="231"/>
      <c r="D20" s="231"/>
      <c r="E20" s="231" t="s">
        <v>421</v>
      </c>
      <c r="F20" s="93"/>
      <c r="G20" s="93"/>
      <c r="H20" s="189"/>
      <c r="I20" s="189"/>
      <c r="J20" s="189"/>
      <c r="K20" s="189"/>
      <c r="L20" s="189"/>
      <c r="M20" s="189"/>
      <c r="N20" s="189"/>
      <c r="O20" s="189"/>
      <c r="P20" s="189"/>
      <c r="Q20" s="189"/>
      <c r="R20" s="191"/>
      <c r="S20" s="191"/>
      <c r="T20" s="191"/>
      <c r="U20" s="191"/>
      <c r="V20" s="191"/>
      <c r="W20" s="191"/>
      <c r="X20" s="191"/>
      <c r="Y20" s="191"/>
      <c r="Z20" s="191"/>
      <c r="AA20" s="191"/>
      <c r="AB20" s="193"/>
      <c r="AC20" s="193"/>
      <c r="AD20" s="193"/>
      <c r="AE20" s="193"/>
      <c r="AF20" s="193"/>
      <c r="AG20" s="193"/>
      <c r="AH20" s="193"/>
      <c r="AI20" s="193"/>
      <c r="AJ20" s="193"/>
      <c r="AK20" s="193"/>
      <c r="AL20" s="195"/>
      <c r="AM20" s="195"/>
      <c r="AN20" s="195"/>
      <c r="AO20" s="195"/>
      <c r="AP20" s="195"/>
      <c r="AQ20" s="195"/>
      <c r="AR20" s="195"/>
      <c r="AS20" s="195"/>
      <c r="AT20" s="195"/>
      <c r="AU20" s="195"/>
      <c r="AV20" s="197"/>
      <c r="AW20" s="197"/>
      <c r="AX20" s="197"/>
      <c r="AY20" s="197"/>
      <c r="AZ20" s="197"/>
      <c r="BA20" s="197"/>
      <c r="BB20" s="197"/>
      <c r="BC20" s="197"/>
      <c r="BD20" s="197"/>
      <c r="BE20" s="197"/>
      <c r="BF20" s="198"/>
    </row>
    <row r="21" spans="1:58" s="6" customFormat="1" ht="28.8" x14ac:dyDescent="0.3">
      <c r="A21" s="93" t="s">
        <v>401</v>
      </c>
      <c r="B21" s="91" t="s">
        <v>482</v>
      </c>
      <c r="C21" s="227" t="s">
        <v>415</v>
      </c>
      <c r="D21" s="227"/>
      <c r="E21" s="227" t="s">
        <v>248</v>
      </c>
      <c r="F21" s="89" t="s">
        <v>44</v>
      </c>
      <c r="G21" s="89" t="s">
        <v>106</v>
      </c>
      <c r="H21" s="189"/>
      <c r="I21" s="189"/>
      <c r="J21" s="189"/>
      <c r="K21" s="189"/>
      <c r="L21" s="189"/>
      <c r="M21" s="189"/>
      <c r="N21" s="189"/>
      <c r="O21" s="189"/>
      <c r="P21" s="189"/>
      <c r="Q21" s="189"/>
      <c r="R21" s="191"/>
      <c r="S21" s="191"/>
      <c r="T21" s="191"/>
      <c r="U21" s="191"/>
      <c r="V21" s="191"/>
      <c r="W21" s="191"/>
      <c r="X21" s="191"/>
      <c r="Y21" s="191"/>
      <c r="Z21" s="191"/>
      <c r="AA21" s="191"/>
      <c r="AB21" s="193"/>
      <c r="AC21" s="193"/>
      <c r="AD21" s="193"/>
      <c r="AE21" s="193"/>
      <c r="AF21" s="193"/>
      <c r="AG21" s="193"/>
      <c r="AH21" s="193"/>
      <c r="AI21" s="193"/>
      <c r="AJ21" s="193"/>
      <c r="AK21" s="193"/>
      <c r="AL21" s="195"/>
      <c r="AM21" s="195"/>
      <c r="AN21" s="195"/>
      <c r="AO21" s="195"/>
      <c r="AP21" s="195"/>
      <c r="AQ21" s="195"/>
      <c r="AR21" s="195"/>
      <c r="AS21" s="195"/>
      <c r="AT21" s="195"/>
      <c r="AU21" s="195"/>
      <c r="AV21" s="197"/>
      <c r="AW21" s="197"/>
      <c r="AX21" s="197"/>
      <c r="AY21" s="197"/>
      <c r="AZ21" s="197"/>
      <c r="BA21" s="197"/>
      <c r="BB21" s="197"/>
      <c r="BC21" s="197"/>
      <c r="BD21" s="197"/>
      <c r="BE21" s="197"/>
      <c r="BF21" s="198"/>
    </row>
    <row r="22" spans="1:58" ht="28.8" x14ac:dyDescent="0.3">
      <c r="A22" s="93" t="s">
        <v>401</v>
      </c>
      <c r="B22" s="92" t="s">
        <v>482</v>
      </c>
      <c r="C22" s="228" t="s">
        <v>415</v>
      </c>
      <c r="D22" s="229" t="s">
        <v>416</v>
      </c>
      <c r="E22" s="229" t="s">
        <v>479</v>
      </c>
      <c r="F22" s="93" t="s">
        <v>44</v>
      </c>
      <c r="G22" s="93" t="s">
        <v>249</v>
      </c>
      <c r="H22" s="189">
        <f>HLOOKUP(H$2,'Baseline FRL'!$B$23:$O$28,5,FALSE)</f>
        <v>66475</v>
      </c>
      <c r="I22" s="189">
        <f>HLOOKUP(I$2,'Baseline FRL'!$B$23:$O$28,5,FALSE)</f>
        <v>25443</v>
      </c>
      <c r="J22" s="189">
        <f>HLOOKUP(J$2,'Baseline FRL'!$B$23:$O$28,5,FALSE)</f>
        <v>7258</v>
      </c>
      <c r="K22" s="189">
        <f>HLOOKUP(K$2,'Baseline FRL'!$B$23:$O$28,5,FALSE)</f>
        <v>500</v>
      </c>
      <c r="L22" s="189">
        <f>HLOOKUP(L$2,'Baseline FRL'!$B$23:$O$28,5,FALSE)</f>
        <v>215</v>
      </c>
      <c r="M22" s="189">
        <f>HLOOKUP(M$2,'Baseline FRL'!$B$23:$O$28,5,FALSE)</f>
        <v>3928</v>
      </c>
      <c r="N22" s="189">
        <f>HLOOKUP(N$2,'Baseline FRL'!$B$23:$O$28,5,FALSE)</f>
        <v>508</v>
      </c>
      <c r="O22" s="189">
        <f>HLOOKUP(O$2,'Baseline FRL'!$B$23:$O$28,5,FALSE)</f>
        <v>5</v>
      </c>
      <c r="P22" s="189">
        <f>HLOOKUP(P$2,'Baseline FRL'!$B$23:$O$28,5,FALSE)</f>
        <v>1786</v>
      </c>
      <c r="Q22" s="189">
        <f>HLOOKUP(Q$2,'Baseline FRL'!$B$23:$O$28,5,FALSE)</f>
        <v>528</v>
      </c>
      <c r="R22" s="191">
        <f>HLOOKUP(R$3,'Implementing Areas'!$B$53:$K$64,7,FALSE)</f>
        <v>8.0016340672886779E-2</v>
      </c>
      <c r="S22" s="191">
        <f>HLOOKUP(S$3,'Implementing Areas'!$B$53:$K$64,7,FALSE)</f>
        <v>0.23439608722285371</v>
      </c>
      <c r="T22" s="191">
        <f>HLOOKUP(T$3,'Implementing Areas'!$B$53:$K$64,7,FALSE)</f>
        <v>0.23439608722285371</v>
      </c>
      <c r="U22" s="191">
        <f>HLOOKUP(U$3,'Implementing Areas'!$B$53:$K$64,7,FALSE)</f>
        <v>8.0016340672886779E-2</v>
      </c>
      <c r="V22" s="191">
        <f>HLOOKUP(V$3,'Implementing Areas'!$B$53:$K$64,7,FALSE)</f>
        <v>0.10322328641265012</v>
      </c>
      <c r="W22" s="191">
        <f>HLOOKUP(W$3,'Implementing Areas'!$B$53:$K$64,7,FALSE)</f>
        <v>7.3837632313357047E-3</v>
      </c>
      <c r="X22" s="191">
        <f>HLOOKUP(X$3,'Implementing Areas'!$B$53:$K$64,7,FALSE)</f>
        <v>0</v>
      </c>
      <c r="Y22" s="191">
        <f>HLOOKUP(Y$3,'Implementing Areas'!$B$53:$K$64,7,FALSE)</f>
        <v>7.3837632313357047E-3</v>
      </c>
      <c r="Z22" s="191">
        <f>HLOOKUP(Z$3,'Implementing Areas'!$B$53:$K$64,7,FALSE)</f>
        <v>0.44080092657018277</v>
      </c>
      <c r="AA22" s="191">
        <f>HLOOKUP(AA$3,'Implementing Areas'!$B$53:$K$64,7,FALSE)</f>
        <v>0.57303018728020094</v>
      </c>
      <c r="AB22" s="193">
        <f>(VLOOKUP($F22,'ER Target'!$C$3:$D$10,2,FALSE))*'Program Activity-Rev'!R22*'ER Target'!$D$12</f>
        <v>2.8005719235510377E-3</v>
      </c>
      <c r="AC22" s="193">
        <f>(VLOOKUP($F22,'ER Target'!$C$3:$D$10,2,FALSE))*'Program Activity-Rev'!S22*'ER Target'!$D$12</f>
        <v>8.2038630527998813E-3</v>
      </c>
      <c r="AD22" s="193">
        <f>(VLOOKUP($F22,'ER Target'!$C$3:$D$10,2,FALSE))*'Program Activity-Rev'!T22*'ER Target'!$D$12</f>
        <v>8.2038630527998813E-3</v>
      </c>
      <c r="AE22" s="193">
        <f>(VLOOKUP($F22,'ER Target'!$C$3:$D$10,2,FALSE))*'Program Activity-Rev'!U22*'ER Target'!$D$12</f>
        <v>2.8005719235510377E-3</v>
      </c>
      <c r="AF22" s="193">
        <f>(VLOOKUP($F22,'ER Target'!$C$3:$D$10,2,FALSE))*'Program Activity-Rev'!V22*'ER Target'!$D$12</f>
        <v>3.6128150244427544E-3</v>
      </c>
      <c r="AG22" s="193">
        <f>(VLOOKUP($F22,'ER Target'!$C$3:$D$10,2,FALSE))*'Program Activity-Rev'!W22*'ER Target'!$D$12</f>
        <v>2.5843171309674967E-4</v>
      </c>
      <c r="AH22" s="193">
        <f>(VLOOKUP($F22,'ER Target'!$C$3:$D$10,2,FALSE))*'Program Activity-Rev'!X22*'ER Target'!$D$12</f>
        <v>0</v>
      </c>
      <c r="AI22" s="193">
        <f>(VLOOKUP($F22,'ER Target'!$C$3:$D$10,2,FALSE))*'Program Activity-Rev'!Y22*'ER Target'!$D$12</f>
        <v>2.5843171309674967E-4</v>
      </c>
      <c r="AJ22" s="193">
        <f>(VLOOKUP($F22,'ER Target'!$C$3:$D$10,2,FALSE))*'Program Activity-Rev'!Z22*'ER Target'!$D$12</f>
        <v>1.5428032429956398E-2</v>
      </c>
      <c r="AK22" s="193">
        <f>(VLOOKUP($F22,'ER Target'!$C$3:$D$10,2,FALSE))*'Program Activity-Rev'!AA22*'ER Target'!$D$12</f>
        <v>2.0056056554807036E-2</v>
      </c>
      <c r="AL22" s="195">
        <f t="shared" si="1"/>
        <v>186.16801861805524</v>
      </c>
      <c r="AM22" s="195">
        <f t="shared" si="0"/>
        <v>208.73088765238737</v>
      </c>
      <c r="AN22" s="195">
        <f t="shared" si="0"/>
        <v>59.543638037221541</v>
      </c>
      <c r="AO22" s="195">
        <f t="shared" si="0"/>
        <v>1.4002859617755188</v>
      </c>
      <c r="AP22" s="195">
        <f t="shared" si="0"/>
        <v>0.77675523025519222</v>
      </c>
      <c r="AQ22" s="195">
        <f t="shared" si="0"/>
        <v>1.0151197690440328</v>
      </c>
      <c r="AR22" s="195">
        <f t="shared" si="0"/>
        <v>0</v>
      </c>
      <c r="AS22" s="195">
        <f t="shared" si="0"/>
        <v>1.2921585654837482E-3</v>
      </c>
      <c r="AT22" s="195">
        <f t="shared" si="0"/>
        <v>27.554465919902128</v>
      </c>
      <c r="AU22" s="195">
        <f t="shared" si="0"/>
        <v>10.589597860938115</v>
      </c>
      <c r="AV22" s="197">
        <f>HLOOKUP(AV$2,'Baseline FRL'!$B$23:$O$28,6,FALSE)*'Program Activity-Rev'!AL22</f>
        <v>69269.250737665963</v>
      </c>
      <c r="AW22" s="197">
        <f>HLOOKUP(AW$2,'Baseline FRL'!$B$23:$O$28,6,FALSE)*'Program Activity-Rev'!AM22</f>
        <v>7872.9028095238273</v>
      </c>
      <c r="AX22" s="197">
        <f>HLOOKUP(AX$2,'Baseline FRL'!$B$23:$O$28,6,FALSE)*'Program Activity-Rev'!AN22</f>
        <v>30308.499331798834</v>
      </c>
      <c r="AY22" s="197">
        <f>HLOOKUP(AY$2,'Baseline FRL'!$B$23:$O$28,6,FALSE)*'Program Activity-Rev'!AO22</f>
        <v>70.473591884238317</v>
      </c>
      <c r="AZ22" s="197">
        <f>HLOOKUP(AZ$2,'Baseline FRL'!$B$23:$O$28,6,FALSE)*'Program Activity-Rev'!AP22</f>
        <v>37.905655236453377</v>
      </c>
      <c r="BA22" s="197">
        <f>HLOOKUP(BA$2,'Baseline FRL'!$B$23:$O$28,6,FALSE)*'Program Activity-Rev'!AQ22</f>
        <v>211.03533691480581</v>
      </c>
      <c r="BB22" s="197">
        <f>HLOOKUP(BB$2,'Baseline FRL'!$B$23:$O$28,6,FALSE)*'Program Activity-Rev'!AR22</f>
        <v>0</v>
      </c>
      <c r="BC22" s="197">
        <f>HLOOKUP(BC$2,'Baseline FRL'!$B$23:$O$28,6,FALSE)*'Program Activity-Rev'!AS22</f>
        <v>5.3495364611027177E-2</v>
      </c>
      <c r="BD22" s="197">
        <f>HLOOKUP(BD$2,'Baseline FRL'!$B$23:$O$28,6,FALSE)*'Program Activity-Rev'!AT22</f>
        <v>9870.2071713240457</v>
      </c>
      <c r="BE22" s="197">
        <f>HLOOKUP(BE$2,'Baseline FRL'!$B$23:$O$28,6,FALSE)*'Program Activity-Rev'!AU22</f>
        <v>442.63716816459129</v>
      </c>
      <c r="BF22" s="198">
        <f t="shared" si="2"/>
        <v>118082.96529787737</v>
      </c>
    </row>
    <row r="23" spans="1:58" ht="28.8" x14ac:dyDescent="0.3">
      <c r="A23" s="93" t="s">
        <v>401</v>
      </c>
      <c r="B23" s="92" t="s">
        <v>482</v>
      </c>
      <c r="C23" s="228" t="s">
        <v>415</v>
      </c>
      <c r="D23" s="229" t="s">
        <v>417</v>
      </c>
      <c r="E23" s="229" t="s">
        <v>135</v>
      </c>
      <c r="F23" s="93" t="s">
        <v>337</v>
      </c>
      <c r="G23" s="93" t="s">
        <v>249</v>
      </c>
      <c r="H23" s="189">
        <f>HLOOKUP(H$2,'Baseline FRL'!$B$23:$O$28,5,FALSE)</f>
        <v>66475</v>
      </c>
      <c r="I23" s="189">
        <f>HLOOKUP(I$2,'Baseline FRL'!$B$23:$O$28,5,FALSE)</f>
        <v>25443</v>
      </c>
      <c r="J23" s="189">
        <f>HLOOKUP(J$2,'Baseline FRL'!$B$23:$O$28,5,FALSE)</f>
        <v>7258</v>
      </c>
      <c r="K23" s="189">
        <f>HLOOKUP(K$2,'Baseline FRL'!$B$23:$O$28,5,FALSE)</f>
        <v>500</v>
      </c>
      <c r="L23" s="189">
        <f>HLOOKUP(L$2,'Baseline FRL'!$B$23:$O$28,5,FALSE)</f>
        <v>215</v>
      </c>
      <c r="M23" s="189">
        <f>HLOOKUP(M$2,'Baseline FRL'!$B$23:$O$28,5,FALSE)</f>
        <v>3928</v>
      </c>
      <c r="N23" s="189">
        <f>HLOOKUP(N$2,'Baseline FRL'!$B$23:$O$28,5,FALSE)</f>
        <v>508</v>
      </c>
      <c r="O23" s="189">
        <f>HLOOKUP(O$2,'Baseline FRL'!$B$23:$O$28,5,FALSE)</f>
        <v>5</v>
      </c>
      <c r="P23" s="189">
        <f>HLOOKUP(P$2,'Baseline FRL'!$B$23:$O$28,5,FALSE)</f>
        <v>1786</v>
      </c>
      <c r="Q23" s="189">
        <f>HLOOKUP(Q$2,'Baseline FRL'!$B$23:$O$28,5,FALSE)</f>
        <v>528</v>
      </c>
      <c r="R23" s="191">
        <f>HLOOKUP(R$3,'Implementing Areas'!$B$53:$K$64,7,FALSE)</f>
        <v>8.0016340672886779E-2</v>
      </c>
      <c r="S23" s="191">
        <f>HLOOKUP(S$3,'Implementing Areas'!$B$53:$K$64,7,FALSE)</f>
        <v>0.23439608722285371</v>
      </c>
      <c r="T23" s="191">
        <f>HLOOKUP(T$3,'Implementing Areas'!$B$53:$K$64,7,FALSE)</f>
        <v>0.23439608722285371</v>
      </c>
      <c r="U23" s="191">
        <f>HLOOKUP(U$3,'Implementing Areas'!$B$53:$K$64,7,FALSE)</f>
        <v>8.0016340672886779E-2</v>
      </c>
      <c r="V23" s="191">
        <f>HLOOKUP(V$3,'Implementing Areas'!$B$53:$K$64,7,FALSE)</f>
        <v>0.10322328641265012</v>
      </c>
      <c r="W23" s="191">
        <f>HLOOKUP(W$3,'Implementing Areas'!$B$53:$K$64,7,FALSE)</f>
        <v>7.3837632313357047E-3</v>
      </c>
      <c r="X23" s="191">
        <f>HLOOKUP(X$3,'Implementing Areas'!$B$53:$K$64,7,FALSE)</f>
        <v>0</v>
      </c>
      <c r="Y23" s="191">
        <f>HLOOKUP(Y$3,'Implementing Areas'!$B$53:$K$64,7,FALSE)</f>
        <v>7.3837632313357047E-3</v>
      </c>
      <c r="Z23" s="191">
        <f>HLOOKUP(Z$3,'Implementing Areas'!$B$53:$K$64,7,FALSE)</f>
        <v>0.44080092657018277</v>
      </c>
      <c r="AA23" s="191">
        <f>HLOOKUP(AA$3,'Implementing Areas'!$B$53:$K$64,7,FALSE)</f>
        <v>0.57303018728020094</v>
      </c>
      <c r="AB23" s="193">
        <f>(VLOOKUP($F23,'ER Target'!$C$3:$D$10,2,FALSE))*'Program Activity-Rev'!R23*'ER Target'!$D$12</f>
        <v>1.6298751240399298E-2</v>
      </c>
      <c r="AC23" s="193">
        <f>(VLOOKUP($F23,'ER Target'!$C$3:$D$10,2,FALSE))*'Program Activity-Rev'!S23*'ER Target'!$D$12</f>
        <v>4.7744791691814316E-2</v>
      </c>
      <c r="AD23" s="193">
        <f>(VLOOKUP($F23,'ER Target'!$C$3:$D$10,2,FALSE))*'Program Activity-Rev'!T23*'ER Target'!$D$12</f>
        <v>4.7744791691814316E-2</v>
      </c>
      <c r="AE23" s="193">
        <f>(VLOOKUP($F23,'ER Target'!$C$3:$D$10,2,FALSE))*'Program Activity-Rev'!U23*'ER Target'!$D$12</f>
        <v>1.6298751240399298E-2</v>
      </c>
      <c r="AF23" s="193">
        <f>(VLOOKUP($F23,'ER Target'!$C$3:$D$10,2,FALSE))*'Program Activity-Rev'!V23*'ER Target'!$D$12</f>
        <v>2.1025838638811325E-2</v>
      </c>
      <c r="AG23" s="193">
        <f>(VLOOKUP($F23,'ER Target'!$C$3:$D$10,2,FALSE))*'Program Activity-Rev'!W23*'ER Target'!$D$12</f>
        <v>1.5040192929783197E-3</v>
      </c>
      <c r="AH23" s="193">
        <f>(VLOOKUP($F23,'ER Target'!$C$3:$D$10,2,FALSE))*'Program Activity-Rev'!X23*'ER Target'!$D$12</f>
        <v>0</v>
      </c>
      <c r="AI23" s="193">
        <f>(VLOOKUP($F23,'ER Target'!$C$3:$D$10,2,FALSE))*'Program Activity-Rev'!Y23*'ER Target'!$D$12</f>
        <v>1.5040192929783197E-3</v>
      </c>
      <c r="AJ23" s="193">
        <f>(VLOOKUP($F23,'ER Target'!$C$3:$D$10,2,FALSE))*'Program Activity-Rev'!Z23*'ER Target'!$D$12</f>
        <v>8.9787968161100462E-2</v>
      </c>
      <c r="AK23" s="193">
        <f>(VLOOKUP($F23,'ER Target'!$C$3:$D$10,2,FALSE))*'Program Activity-Rev'!AA23*'ER Target'!$D$12</f>
        <v>0.11672211447285202</v>
      </c>
      <c r="AL23" s="195">
        <f t="shared" si="1"/>
        <v>1083.4594887055434</v>
      </c>
      <c r="AM23" s="195">
        <f t="shared" si="0"/>
        <v>1214.7707350148316</v>
      </c>
      <c r="AN23" s="195">
        <f t="shared" si="0"/>
        <v>346.5316980991883</v>
      </c>
      <c r="AO23" s="195">
        <f t="shared" si="0"/>
        <v>8.149375620199649</v>
      </c>
      <c r="AP23" s="195">
        <f t="shared" si="0"/>
        <v>4.5205553073444351</v>
      </c>
      <c r="AQ23" s="195">
        <f t="shared" si="0"/>
        <v>5.9077877828188399</v>
      </c>
      <c r="AR23" s="195">
        <f t="shared" si="0"/>
        <v>0</v>
      </c>
      <c r="AS23" s="195">
        <f t="shared" si="0"/>
        <v>7.5200964648915979E-3</v>
      </c>
      <c r="AT23" s="195">
        <f t="shared" si="0"/>
        <v>160.36131113572543</v>
      </c>
      <c r="AU23" s="195">
        <f t="shared" si="0"/>
        <v>61.629276441665866</v>
      </c>
      <c r="AV23" s="197">
        <f>HLOOKUP(AV$2,'Baseline FRL'!$B$23:$O$28,6,FALSE)*'Program Activity-Rev'!AL23</f>
        <v>403132.75902249408</v>
      </c>
      <c r="AW23" s="197">
        <f>HLOOKUP(AW$2,'Baseline FRL'!$B$23:$O$28,6,FALSE)*'Program Activity-Rev'!AM23</f>
        <v>45818.671305383141</v>
      </c>
      <c r="AX23" s="197">
        <f>HLOOKUP(AX$2,'Baseline FRL'!$B$23:$O$28,6,FALSE)*'Program Activity-Rev'!AN23</f>
        <v>176389.21783248926</v>
      </c>
      <c r="AY23" s="197">
        <f>HLOOKUP(AY$2,'Baseline FRL'!$B$23:$O$28,6,FALSE)*'Program Activity-Rev'!AO23</f>
        <v>410.14177621340798</v>
      </c>
      <c r="AZ23" s="197">
        <f>HLOOKUP(AZ$2,'Baseline FRL'!$B$23:$O$28,6,FALSE)*'Program Activity-Rev'!AP23</f>
        <v>220.60309899840843</v>
      </c>
      <c r="BA23" s="197">
        <f>HLOOKUP(BA$2,'Baseline FRL'!$B$23:$O$28,6,FALSE)*'Program Activity-Rev'!AQ23</f>
        <v>1228.1821546460958</v>
      </c>
      <c r="BB23" s="197">
        <f>HLOOKUP(BB$2,'Baseline FRL'!$B$23:$O$28,6,FALSE)*'Program Activity-Rev'!AR23</f>
        <v>0</v>
      </c>
      <c r="BC23" s="197">
        <f>HLOOKUP(BC$2,'Baseline FRL'!$B$23:$O$28,6,FALSE)*'Program Activity-Rev'!AS23</f>
        <v>0.31133199364651215</v>
      </c>
      <c r="BD23" s="197">
        <f>HLOOKUP(BD$2,'Baseline FRL'!$B$23:$O$28,6,FALSE)*'Program Activity-Rev'!AT23</f>
        <v>57442.570934809315</v>
      </c>
      <c r="BE23" s="197">
        <f>HLOOKUP(BE$2,'Baseline FRL'!$B$23:$O$28,6,FALSE)*'Program Activity-Rev'!AU23</f>
        <v>2576.057066415844</v>
      </c>
      <c r="BF23" s="198">
        <f t="shared" si="2"/>
        <v>687218.5145234433</v>
      </c>
    </row>
    <row r="24" spans="1:58" ht="28.8" x14ac:dyDescent="0.3">
      <c r="A24" s="93" t="s">
        <v>401</v>
      </c>
      <c r="B24" s="92" t="s">
        <v>482</v>
      </c>
      <c r="C24" s="228" t="s">
        <v>415</v>
      </c>
      <c r="D24" s="229" t="s">
        <v>418</v>
      </c>
      <c r="E24" s="229" t="s">
        <v>136</v>
      </c>
      <c r="F24" s="93" t="s">
        <v>44</v>
      </c>
      <c r="G24" s="93" t="s">
        <v>249</v>
      </c>
      <c r="H24" s="189">
        <f>HLOOKUP(H$2,'Baseline FRL'!$B$23:$O$28,5,FALSE)</f>
        <v>66475</v>
      </c>
      <c r="I24" s="189">
        <f>HLOOKUP(I$2,'Baseline FRL'!$B$23:$O$28,5,FALSE)</f>
        <v>25443</v>
      </c>
      <c r="J24" s="189">
        <f>HLOOKUP(J$2,'Baseline FRL'!$B$23:$O$28,5,FALSE)</f>
        <v>7258</v>
      </c>
      <c r="K24" s="189">
        <f>HLOOKUP(K$2,'Baseline FRL'!$B$23:$O$28,5,FALSE)</f>
        <v>500</v>
      </c>
      <c r="L24" s="189">
        <f>HLOOKUP(L$2,'Baseline FRL'!$B$23:$O$28,5,FALSE)</f>
        <v>215</v>
      </c>
      <c r="M24" s="189">
        <f>HLOOKUP(M$2,'Baseline FRL'!$B$23:$O$28,5,FALSE)</f>
        <v>3928</v>
      </c>
      <c r="N24" s="189">
        <f>HLOOKUP(N$2,'Baseline FRL'!$B$23:$O$28,5,FALSE)</f>
        <v>508</v>
      </c>
      <c r="O24" s="189">
        <f>HLOOKUP(O$2,'Baseline FRL'!$B$23:$O$28,5,FALSE)</f>
        <v>5</v>
      </c>
      <c r="P24" s="189">
        <f>HLOOKUP(P$2,'Baseline FRL'!$B$23:$O$28,5,FALSE)</f>
        <v>1786</v>
      </c>
      <c r="Q24" s="189">
        <f>HLOOKUP(Q$2,'Baseline FRL'!$B$23:$O$28,5,FALSE)</f>
        <v>528</v>
      </c>
      <c r="R24" s="191">
        <f>HLOOKUP(R$3,'Implementing Areas'!$B$53:$K$64,7,FALSE)</f>
        <v>8.0016340672886779E-2</v>
      </c>
      <c r="S24" s="191">
        <f>HLOOKUP(S$3,'Implementing Areas'!$B$53:$K$64,7,FALSE)</f>
        <v>0.23439608722285371</v>
      </c>
      <c r="T24" s="191">
        <f>HLOOKUP(T$3,'Implementing Areas'!$B$53:$K$64,7,FALSE)</f>
        <v>0.23439608722285371</v>
      </c>
      <c r="U24" s="191">
        <f>HLOOKUP(U$3,'Implementing Areas'!$B$53:$K$64,7,FALSE)</f>
        <v>8.0016340672886779E-2</v>
      </c>
      <c r="V24" s="191">
        <f>HLOOKUP(V$3,'Implementing Areas'!$B$53:$K$64,7,FALSE)</f>
        <v>0.10322328641265012</v>
      </c>
      <c r="W24" s="191">
        <f>HLOOKUP(W$3,'Implementing Areas'!$B$53:$K$64,7,FALSE)</f>
        <v>7.3837632313357047E-3</v>
      </c>
      <c r="X24" s="191">
        <f>HLOOKUP(X$3,'Implementing Areas'!$B$53:$K$64,7,FALSE)</f>
        <v>0</v>
      </c>
      <c r="Y24" s="191">
        <f>HLOOKUP(Y$3,'Implementing Areas'!$B$53:$K$64,7,FALSE)</f>
        <v>7.3837632313357047E-3</v>
      </c>
      <c r="Z24" s="191">
        <f>HLOOKUP(Z$3,'Implementing Areas'!$B$53:$K$64,7,FALSE)</f>
        <v>0.44080092657018277</v>
      </c>
      <c r="AA24" s="191">
        <f>HLOOKUP(AA$3,'Implementing Areas'!$B$53:$K$64,7,FALSE)</f>
        <v>0.57303018728020094</v>
      </c>
      <c r="AB24" s="193">
        <f>(VLOOKUP($F24,'ER Target'!$C$3:$D$10,2,FALSE))*'Program Activity-Rev'!R24*'ER Target'!$D$12</f>
        <v>2.8005719235510377E-3</v>
      </c>
      <c r="AC24" s="193">
        <f>(VLOOKUP($F24,'ER Target'!$C$3:$D$10,2,FALSE))*'Program Activity-Rev'!S24*'ER Target'!$D$12</f>
        <v>8.2038630527998813E-3</v>
      </c>
      <c r="AD24" s="193">
        <f>(VLOOKUP($F24,'ER Target'!$C$3:$D$10,2,FALSE))*'Program Activity-Rev'!T24*'ER Target'!$D$12</f>
        <v>8.2038630527998813E-3</v>
      </c>
      <c r="AE24" s="193">
        <f>(VLOOKUP($F24,'ER Target'!$C$3:$D$10,2,FALSE))*'Program Activity-Rev'!U24*'ER Target'!$D$12</f>
        <v>2.8005719235510377E-3</v>
      </c>
      <c r="AF24" s="193">
        <f>(VLOOKUP($F24,'ER Target'!$C$3:$D$10,2,FALSE))*'Program Activity-Rev'!V24*'ER Target'!$D$12</f>
        <v>3.6128150244427544E-3</v>
      </c>
      <c r="AG24" s="193">
        <f>(VLOOKUP($F24,'ER Target'!$C$3:$D$10,2,FALSE))*'Program Activity-Rev'!W24*'ER Target'!$D$12</f>
        <v>2.5843171309674967E-4</v>
      </c>
      <c r="AH24" s="193">
        <f>(VLOOKUP($F24,'ER Target'!$C$3:$D$10,2,FALSE))*'Program Activity-Rev'!X24*'ER Target'!$D$12</f>
        <v>0</v>
      </c>
      <c r="AI24" s="193">
        <f>(VLOOKUP($F24,'ER Target'!$C$3:$D$10,2,FALSE))*'Program Activity-Rev'!Y24*'ER Target'!$D$12</f>
        <v>2.5843171309674967E-4</v>
      </c>
      <c r="AJ24" s="193">
        <f>(VLOOKUP($F24,'ER Target'!$C$3:$D$10,2,FALSE))*'Program Activity-Rev'!Z24*'ER Target'!$D$12</f>
        <v>1.5428032429956398E-2</v>
      </c>
      <c r="AK24" s="193">
        <f>(VLOOKUP($F24,'ER Target'!$C$3:$D$10,2,FALSE))*'Program Activity-Rev'!AA24*'ER Target'!$D$12</f>
        <v>2.0056056554807036E-2</v>
      </c>
      <c r="AL24" s="195">
        <f t="shared" si="1"/>
        <v>186.16801861805524</v>
      </c>
      <c r="AM24" s="195">
        <f t="shared" si="0"/>
        <v>208.73088765238737</v>
      </c>
      <c r="AN24" s="195">
        <f t="shared" si="0"/>
        <v>59.543638037221541</v>
      </c>
      <c r="AO24" s="195">
        <f t="shared" si="0"/>
        <v>1.4002859617755188</v>
      </c>
      <c r="AP24" s="195">
        <f t="shared" si="0"/>
        <v>0.77675523025519222</v>
      </c>
      <c r="AQ24" s="195">
        <f t="shared" si="0"/>
        <v>1.0151197690440328</v>
      </c>
      <c r="AR24" s="195">
        <f t="shared" si="0"/>
        <v>0</v>
      </c>
      <c r="AS24" s="195">
        <f t="shared" si="0"/>
        <v>1.2921585654837482E-3</v>
      </c>
      <c r="AT24" s="195">
        <f t="shared" si="0"/>
        <v>27.554465919902128</v>
      </c>
      <c r="AU24" s="195">
        <f t="shared" si="0"/>
        <v>10.589597860938115</v>
      </c>
      <c r="AV24" s="197">
        <f>HLOOKUP(AV$2,'Baseline FRL'!$B$23:$O$28,6,FALSE)*'Program Activity-Rev'!AL24</f>
        <v>69269.250737665963</v>
      </c>
      <c r="AW24" s="197">
        <f>HLOOKUP(AW$2,'Baseline FRL'!$B$23:$O$28,6,FALSE)*'Program Activity-Rev'!AM24</f>
        <v>7872.9028095238273</v>
      </c>
      <c r="AX24" s="197">
        <f>HLOOKUP(AX$2,'Baseline FRL'!$B$23:$O$28,6,FALSE)*'Program Activity-Rev'!AN24</f>
        <v>30308.499331798834</v>
      </c>
      <c r="AY24" s="197">
        <f>HLOOKUP(AY$2,'Baseline FRL'!$B$23:$O$28,6,FALSE)*'Program Activity-Rev'!AO24</f>
        <v>70.473591884238317</v>
      </c>
      <c r="AZ24" s="197">
        <f>HLOOKUP(AZ$2,'Baseline FRL'!$B$23:$O$28,6,FALSE)*'Program Activity-Rev'!AP24</f>
        <v>37.905655236453377</v>
      </c>
      <c r="BA24" s="197">
        <f>HLOOKUP(BA$2,'Baseline FRL'!$B$23:$O$28,6,FALSE)*'Program Activity-Rev'!AQ24</f>
        <v>211.03533691480581</v>
      </c>
      <c r="BB24" s="197">
        <f>HLOOKUP(BB$2,'Baseline FRL'!$B$23:$O$28,6,FALSE)*'Program Activity-Rev'!AR24</f>
        <v>0</v>
      </c>
      <c r="BC24" s="197">
        <f>HLOOKUP(BC$2,'Baseline FRL'!$B$23:$O$28,6,FALSE)*'Program Activity-Rev'!AS24</f>
        <v>5.3495364611027177E-2</v>
      </c>
      <c r="BD24" s="197">
        <f>HLOOKUP(BD$2,'Baseline FRL'!$B$23:$O$28,6,FALSE)*'Program Activity-Rev'!AT24</f>
        <v>9870.2071713240457</v>
      </c>
      <c r="BE24" s="197">
        <f>HLOOKUP(BE$2,'Baseline FRL'!$B$23:$O$28,6,FALSE)*'Program Activity-Rev'!AU24</f>
        <v>442.63716816459129</v>
      </c>
      <c r="BF24" s="198">
        <f t="shared" si="2"/>
        <v>118082.96529787737</v>
      </c>
    </row>
    <row r="25" spans="1:58" x14ac:dyDescent="0.3">
      <c r="A25" s="93" t="s">
        <v>401</v>
      </c>
      <c r="B25" s="92" t="s">
        <v>482</v>
      </c>
      <c r="C25" s="228" t="s">
        <v>415</v>
      </c>
      <c r="D25" s="229" t="s">
        <v>419</v>
      </c>
      <c r="E25" s="229" t="s">
        <v>137</v>
      </c>
      <c r="F25" s="93" t="s">
        <v>44</v>
      </c>
      <c r="G25" s="93" t="s">
        <v>249</v>
      </c>
      <c r="H25" s="189">
        <f>HLOOKUP(H$2,'Baseline FRL'!$B$23:$O$28,5,FALSE)</f>
        <v>66475</v>
      </c>
      <c r="I25" s="189">
        <f>HLOOKUP(I$2,'Baseline FRL'!$B$23:$O$28,5,FALSE)</f>
        <v>25443</v>
      </c>
      <c r="J25" s="189">
        <f>HLOOKUP(J$2,'Baseline FRL'!$B$23:$O$28,5,FALSE)</f>
        <v>7258</v>
      </c>
      <c r="K25" s="189">
        <f>HLOOKUP(K$2,'Baseline FRL'!$B$23:$O$28,5,FALSE)</f>
        <v>500</v>
      </c>
      <c r="L25" s="189">
        <f>HLOOKUP(L$2,'Baseline FRL'!$B$23:$O$28,5,FALSE)</f>
        <v>215</v>
      </c>
      <c r="M25" s="189">
        <f>HLOOKUP(M$2,'Baseline FRL'!$B$23:$O$28,5,FALSE)</f>
        <v>3928</v>
      </c>
      <c r="N25" s="189">
        <f>HLOOKUP(N$2,'Baseline FRL'!$B$23:$O$28,5,FALSE)</f>
        <v>508</v>
      </c>
      <c r="O25" s="189">
        <f>HLOOKUP(O$2,'Baseline FRL'!$B$23:$O$28,5,FALSE)</f>
        <v>5</v>
      </c>
      <c r="P25" s="189">
        <f>HLOOKUP(P$2,'Baseline FRL'!$B$23:$O$28,5,FALSE)</f>
        <v>1786</v>
      </c>
      <c r="Q25" s="189">
        <f>HLOOKUP(Q$2,'Baseline FRL'!$B$23:$O$28,5,FALSE)</f>
        <v>528</v>
      </c>
      <c r="R25" s="191">
        <f>HLOOKUP(R$3,'Implementing Areas'!$B$53:$K$64,7,FALSE)</f>
        <v>8.0016340672886779E-2</v>
      </c>
      <c r="S25" s="191">
        <f>HLOOKUP(S$3,'Implementing Areas'!$B$53:$K$64,7,FALSE)</f>
        <v>0.23439608722285371</v>
      </c>
      <c r="T25" s="191">
        <f>HLOOKUP(T$3,'Implementing Areas'!$B$53:$K$64,7,FALSE)</f>
        <v>0.23439608722285371</v>
      </c>
      <c r="U25" s="191">
        <f>HLOOKUP(U$3,'Implementing Areas'!$B$53:$K$64,7,FALSE)</f>
        <v>8.0016340672886779E-2</v>
      </c>
      <c r="V25" s="191">
        <f>HLOOKUP(V$3,'Implementing Areas'!$B$53:$K$64,7,FALSE)</f>
        <v>0.10322328641265012</v>
      </c>
      <c r="W25" s="191">
        <f>HLOOKUP(W$3,'Implementing Areas'!$B$53:$K$64,7,FALSE)</f>
        <v>7.3837632313357047E-3</v>
      </c>
      <c r="X25" s="191">
        <f>HLOOKUP(X$3,'Implementing Areas'!$B$53:$K$64,7,FALSE)</f>
        <v>0</v>
      </c>
      <c r="Y25" s="191">
        <f>HLOOKUP(Y$3,'Implementing Areas'!$B$53:$K$64,7,FALSE)</f>
        <v>7.3837632313357047E-3</v>
      </c>
      <c r="Z25" s="191">
        <f>HLOOKUP(Z$3,'Implementing Areas'!$B$53:$K$64,7,FALSE)</f>
        <v>0.44080092657018277</v>
      </c>
      <c r="AA25" s="191">
        <f>HLOOKUP(AA$3,'Implementing Areas'!$B$53:$K$64,7,FALSE)</f>
        <v>0.57303018728020094</v>
      </c>
      <c r="AB25" s="193">
        <f>(VLOOKUP($F25,'ER Target'!$C$3:$D$10,2,FALSE))*'Program Activity-Rev'!R25*'ER Target'!$D$12</f>
        <v>2.8005719235510377E-3</v>
      </c>
      <c r="AC25" s="193">
        <f>(VLOOKUP($F25,'ER Target'!$C$3:$D$10,2,FALSE))*'Program Activity-Rev'!S25*'ER Target'!$D$12</f>
        <v>8.2038630527998813E-3</v>
      </c>
      <c r="AD25" s="193">
        <f>(VLOOKUP($F25,'ER Target'!$C$3:$D$10,2,FALSE))*'Program Activity-Rev'!T25*'ER Target'!$D$12</f>
        <v>8.2038630527998813E-3</v>
      </c>
      <c r="AE25" s="193">
        <f>(VLOOKUP($F25,'ER Target'!$C$3:$D$10,2,FALSE))*'Program Activity-Rev'!U25*'ER Target'!$D$12</f>
        <v>2.8005719235510377E-3</v>
      </c>
      <c r="AF25" s="193">
        <f>(VLOOKUP($F25,'ER Target'!$C$3:$D$10,2,FALSE))*'Program Activity-Rev'!V25*'ER Target'!$D$12</f>
        <v>3.6128150244427544E-3</v>
      </c>
      <c r="AG25" s="193">
        <f>(VLOOKUP($F25,'ER Target'!$C$3:$D$10,2,FALSE))*'Program Activity-Rev'!W25*'ER Target'!$D$12</f>
        <v>2.5843171309674967E-4</v>
      </c>
      <c r="AH25" s="193">
        <f>(VLOOKUP($F25,'ER Target'!$C$3:$D$10,2,FALSE))*'Program Activity-Rev'!X25*'ER Target'!$D$12</f>
        <v>0</v>
      </c>
      <c r="AI25" s="193">
        <f>(VLOOKUP($F25,'ER Target'!$C$3:$D$10,2,FALSE))*'Program Activity-Rev'!Y25*'ER Target'!$D$12</f>
        <v>2.5843171309674967E-4</v>
      </c>
      <c r="AJ25" s="193">
        <f>(VLOOKUP($F25,'ER Target'!$C$3:$D$10,2,FALSE))*'Program Activity-Rev'!Z25*'ER Target'!$D$12</f>
        <v>1.5428032429956398E-2</v>
      </c>
      <c r="AK25" s="193">
        <f>(VLOOKUP($F25,'ER Target'!$C$3:$D$10,2,FALSE))*'Program Activity-Rev'!AA25*'ER Target'!$D$12</f>
        <v>2.0056056554807036E-2</v>
      </c>
      <c r="AL25" s="195">
        <f t="shared" si="1"/>
        <v>186.16801861805524</v>
      </c>
      <c r="AM25" s="195">
        <f t="shared" ref="AM25:AM67" si="3">I25*AC25</f>
        <v>208.73088765238737</v>
      </c>
      <c r="AN25" s="195">
        <f t="shared" ref="AN25:AN67" si="4">J25*AD25</f>
        <v>59.543638037221541</v>
      </c>
      <c r="AO25" s="195">
        <f t="shared" ref="AO25:AO67" si="5">K25*AE25</f>
        <v>1.4002859617755188</v>
      </c>
      <c r="AP25" s="195">
        <f t="shared" ref="AP25:AP67" si="6">L25*AF25</f>
        <v>0.77675523025519222</v>
      </c>
      <c r="AQ25" s="195">
        <f t="shared" ref="AQ25:AQ67" si="7">M25*AG25</f>
        <v>1.0151197690440328</v>
      </c>
      <c r="AR25" s="195">
        <f t="shared" ref="AR25:AR67" si="8">N25*AH25</f>
        <v>0</v>
      </c>
      <c r="AS25" s="195">
        <f t="shared" ref="AS25:AS67" si="9">O25*AI25</f>
        <v>1.2921585654837482E-3</v>
      </c>
      <c r="AT25" s="195">
        <f t="shared" ref="AT25:AT67" si="10">P25*AJ25</f>
        <v>27.554465919902128</v>
      </c>
      <c r="AU25" s="195">
        <f t="shared" ref="AU25:AU67" si="11">Q25*AK25</f>
        <v>10.589597860938115</v>
      </c>
      <c r="AV25" s="197">
        <f>HLOOKUP(AV$2,'Baseline FRL'!$B$23:$O$28,6,FALSE)*'Program Activity-Rev'!AL25</f>
        <v>69269.250737665963</v>
      </c>
      <c r="AW25" s="197">
        <f>HLOOKUP(AW$2,'Baseline FRL'!$B$23:$O$28,6,FALSE)*'Program Activity-Rev'!AM25</f>
        <v>7872.9028095238273</v>
      </c>
      <c r="AX25" s="197">
        <f>HLOOKUP(AX$2,'Baseline FRL'!$B$23:$O$28,6,FALSE)*'Program Activity-Rev'!AN25</f>
        <v>30308.499331798834</v>
      </c>
      <c r="AY25" s="197">
        <f>HLOOKUP(AY$2,'Baseline FRL'!$B$23:$O$28,6,FALSE)*'Program Activity-Rev'!AO25</f>
        <v>70.473591884238317</v>
      </c>
      <c r="AZ25" s="197">
        <f>HLOOKUP(AZ$2,'Baseline FRL'!$B$23:$O$28,6,FALSE)*'Program Activity-Rev'!AP25</f>
        <v>37.905655236453377</v>
      </c>
      <c r="BA25" s="197">
        <f>HLOOKUP(BA$2,'Baseline FRL'!$B$23:$O$28,6,FALSE)*'Program Activity-Rev'!AQ25</f>
        <v>211.03533691480581</v>
      </c>
      <c r="BB25" s="197">
        <f>HLOOKUP(BB$2,'Baseline FRL'!$B$23:$O$28,6,FALSE)*'Program Activity-Rev'!AR25</f>
        <v>0</v>
      </c>
      <c r="BC25" s="197">
        <f>HLOOKUP(BC$2,'Baseline FRL'!$B$23:$O$28,6,FALSE)*'Program Activity-Rev'!AS25</f>
        <v>5.3495364611027177E-2</v>
      </c>
      <c r="BD25" s="197">
        <f>HLOOKUP(BD$2,'Baseline FRL'!$B$23:$O$28,6,FALSE)*'Program Activity-Rev'!AT25</f>
        <v>9870.2071713240457</v>
      </c>
      <c r="BE25" s="197">
        <f>HLOOKUP(BE$2,'Baseline FRL'!$B$23:$O$28,6,FALSE)*'Program Activity-Rev'!AU25</f>
        <v>442.63716816459129</v>
      </c>
      <c r="BF25" s="198">
        <f t="shared" si="2"/>
        <v>118082.96529787737</v>
      </c>
    </row>
    <row r="26" spans="1:58" ht="28.8" x14ac:dyDescent="0.3">
      <c r="A26" s="93" t="s">
        <v>401</v>
      </c>
      <c r="B26" s="92" t="s">
        <v>482</v>
      </c>
      <c r="C26" s="228" t="s">
        <v>415</v>
      </c>
      <c r="D26" s="229" t="s">
        <v>420</v>
      </c>
      <c r="E26" s="229" t="s">
        <v>422</v>
      </c>
      <c r="F26" s="93"/>
      <c r="G26" s="93"/>
      <c r="H26" s="189"/>
      <c r="I26" s="189"/>
      <c r="J26" s="189"/>
      <c r="K26" s="189"/>
      <c r="L26" s="189"/>
      <c r="M26" s="189"/>
      <c r="N26" s="189"/>
      <c r="O26" s="189"/>
      <c r="P26" s="189"/>
      <c r="Q26" s="189"/>
      <c r="R26" s="191"/>
      <c r="S26" s="191"/>
      <c r="T26" s="191"/>
      <c r="U26" s="191"/>
      <c r="V26" s="191"/>
      <c r="W26" s="191"/>
      <c r="X26" s="191"/>
      <c r="Y26" s="191"/>
      <c r="Z26" s="191"/>
      <c r="AA26" s="191"/>
      <c r="AB26" s="193"/>
      <c r="AC26" s="193"/>
      <c r="AD26" s="193"/>
      <c r="AE26" s="193"/>
      <c r="AF26" s="193"/>
      <c r="AG26" s="193"/>
      <c r="AH26" s="193"/>
      <c r="AI26" s="193"/>
      <c r="AJ26" s="193"/>
      <c r="AK26" s="193"/>
      <c r="AL26" s="195"/>
      <c r="AM26" s="195"/>
      <c r="AN26" s="195"/>
      <c r="AO26" s="195"/>
      <c r="AP26" s="195"/>
      <c r="AQ26" s="195"/>
      <c r="AR26" s="195"/>
      <c r="AS26" s="195"/>
      <c r="AT26" s="195"/>
      <c r="AU26" s="195"/>
      <c r="AV26" s="197"/>
      <c r="AW26" s="197"/>
      <c r="AX26" s="197"/>
      <c r="AY26" s="197"/>
      <c r="AZ26" s="197"/>
      <c r="BA26" s="197"/>
      <c r="BB26" s="197"/>
      <c r="BC26" s="197"/>
      <c r="BD26" s="197"/>
      <c r="BE26" s="197"/>
      <c r="BF26" s="198"/>
    </row>
    <row r="27" spans="1:58" ht="43.2" x14ac:dyDescent="0.3">
      <c r="A27" s="93" t="s">
        <v>401</v>
      </c>
      <c r="B27" s="92" t="s">
        <v>424</v>
      </c>
      <c r="C27" s="232"/>
      <c r="D27" s="231"/>
      <c r="E27" s="231" t="s">
        <v>425</v>
      </c>
      <c r="F27" s="93"/>
      <c r="G27" s="93"/>
      <c r="H27" s="189"/>
      <c r="I27" s="189"/>
      <c r="J27" s="189"/>
      <c r="K27" s="189"/>
      <c r="L27" s="189"/>
      <c r="M27" s="189"/>
      <c r="N27" s="189"/>
      <c r="O27" s="189"/>
      <c r="P27" s="189"/>
      <c r="Q27" s="189"/>
      <c r="R27" s="191"/>
      <c r="S27" s="191"/>
      <c r="T27" s="191"/>
      <c r="U27" s="191"/>
      <c r="V27" s="191"/>
      <c r="W27" s="191"/>
      <c r="X27" s="191"/>
      <c r="Y27" s="191"/>
      <c r="Z27" s="191"/>
      <c r="AA27" s="191"/>
      <c r="AB27" s="193"/>
      <c r="AC27" s="193"/>
      <c r="AD27" s="193"/>
      <c r="AE27" s="193"/>
      <c r="AF27" s="193"/>
      <c r="AG27" s="193"/>
      <c r="AH27" s="193"/>
      <c r="AI27" s="193"/>
      <c r="AJ27" s="193"/>
      <c r="AK27" s="193"/>
      <c r="AL27" s="195"/>
      <c r="AM27" s="195"/>
      <c r="AN27" s="195"/>
      <c r="AO27" s="195"/>
      <c r="AP27" s="195"/>
      <c r="AQ27" s="195"/>
      <c r="AR27" s="195"/>
      <c r="AS27" s="195"/>
      <c r="AT27" s="195"/>
      <c r="AU27" s="195"/>
      <c r="AV27" s="197"/>
      <c r="AW27" s="197"/>
      <c r="AX27" s="197"/>
      <c r="AY27" s="197"/>
      <c r="AZ27" s="197"/>
      <c r="BA27" s="197"/>
      <c r="BB27" s="197"/>
      <c r="BC27" s="197"/>
      <c r="BD27" s="197"/>
      <c r="BE27" s="197"/>
      <c r="BF27" s="198"/>
    </row>
    <row r="28" spans="1:58" s="6" customFormat="1" ht="28.8" x14ac:dyDescent="0.3">
      <c r="A28" s="93" t="s">
        <v>401</v>
      </c>
      <c r="B28" s="91" t="s">
        <v>424</v>
      </c>
      <c r="C28" s="227" t="s">
        <v>426</v>
      </c>
      <c r="D28" s="227"/>
      <c r="E28" s="227" t="s">
        <v>427</v>
      </c>
      <c r="F28" s="89" t="s">
        <v>44</v>
      </c>
      <c r="G28" s="89" t="s">
        <v>106</v>
      </c>
      <c r="H28" s="189"/>
      <c r="I28" s="189"/>
      <c r="J28" s="189"/>
      <c r="K28" s="189"/>
      <c r="L28" s="189"/>
      <c r="M28" s="189"/>
      <c r="N28" s="189"/>
      <c r="O28" s="189"/>
      <c r="P28" s="189"/>
      <c r="Q28" s="189"/>
      <c r="R28" s="190"/>
      <c r="S28" s="190"/>
      <c r="T28" s="190"/>
      <c r="U28" s="190"/>
      <c r="V28" s="190"/>
      <c r="W28" s="190"/>
      <c r="X28" s="190"/>
      <c r="Y28" s="190"/>
      <c r="Z28" s="190"/>
      <c r="AA28" s="190"/>
      <c r="AB28" s="193"/>
      <c r="AC28" s="193"/>
      <c r="AD28" s="193"/>
      <c r="AE28" s="193"/>
      <c r="AF28" s="193"/>
      <c r="AG28" s="193"/>
      <c r="AH28" s="193"/>
      <c r="AI28" s="193"/>
      <c r="AJ28" s="193"/>
      <c r="AK28" s="193"/>
      <c r="AL28" s="195"/>
      <c r="AM28" s="195"/>
      <c r="AN28" s="195"/>
      <c r="AO28" s="195"/>
      <c r="AP28" s="195"/>
      <c r="AQ28" s="195"/>
      <c r="AR28" s="195"/>
      <c r="AS28" s="195"/>
      <c r="AT28" s="195"/>
      <c r="AU28" s="195"/>
      <c r="AV28" s="197"/>
      <c r="AW28" s="197"/>
      <c r="AX28" s="197"/>
      <c r="AY28" s="197"/>
      <c r="AZ28" s="197"/>
      <c r="BA28" s="197"/>
      <c r="BB28" s="197"/>
      <c r="BC28" s="197"/>
      <c r="BD28" s="197"/>
      <c r="BE28" s="197"/>
      <c r="BF28" s="198"/>
    </row>
    <row r="29" spans="1:58" ht="28.8" x14ac:dyDescent="0.3">
      <c r="A29" s="93" t="s">
        <v>401</v>
      </c>
      <c r="B29" s="92" t="s">
        <v>424</v>
      </c>
      <c r="C29" s="229" t="s">
        <v>426</v>
      </c>
      <c r="D29" s="229" t="s">
        <v>428</v>
      </c>
      <c r="E29" s="229" t="s">
        <v>429</v>
      </c>
      <c r="F29" s="93" t="s">
        <v>44</v>
      </c>
      <c r="G29" s="93" t="s">
        <v>115</v>
      </c>
      <c r="H29" s="189">
        <f>HLOOKUP(H$2,'Baseline FRL'!$B$23:$O$28,5,FALSE)</f>
        <v>66475</v>
      </c>
      <c r="I29" s="189">
        <f>HLOOKUP(I$2,'Baseline FRL'!$B$23:$O$28,5,FALSE)</f>
        <v>25443</v>
      </c>
      <c r="J29" s="189">
        <f>HLOOKUP(J$2,'Baseline FRL'!$B$23:$O$28,5,FALSE)</f>
        <v>7258</v>
      </c>
      <c r="K29" s="189">
        <f>HLOOKUP(K$2,'Baseline FRL'!$B$23:$O$28,5,FALSE)</f>
        <v>500</v>
      </c>
      <c r="L29" s="189">
        <f>HLOOKUP(L$2,'Baseline FRL'!$B$23:$O$28,5,FALSE)</f>
        <v>215</v>
      </c>
      <c r="M29" s="189">
        <f>HLOOKUP(M$2,'Baseline FRL'!$B$23:$O$28,5,FALSE)</f>
        <v>3928</v>
      </c>
      <c r="N29" s="189">
        <f>HLOOKUP(N$2,'Baseline FRL'!$B$23:$O$28,5,FALSE)</f>
        <v>508</v>
      </c>
      <c r="O29" s="189">
        <f>HLOOKUP(O$2,'Baseline FRL'!$B$23:$O$28,5,FALSE)</f>
        <v>5</v>
      </c>
      <c r="P29" s="189">
        <f>HLOOKUP(P$2,'Baseline FRL'!$B$23:$O$28,5,FALSE)</f>
        <v>1786</v>
      </c>
      <c r="Q29" s="189">
        <f>HLOOKUP(Q$2,'Baseline FRL'!$B$23:$O$28,5,FALSE)</f>
        <v>528</v>
      </c>
      <c r="R29" s="191">
        <f>HLOOKUP(R$3,'Implementing Areas'!$B$53:$K$64,11,FALSE)</f>
        <v>4.1278769031227909E-2</v>
      </c>
      <c r="S29" s="191">
        <f>HLOOKUP(S$3,'Implementing Areas'!$B$53:$K$64,11,FALSE)</f>
        <v>4.9054990519105349E-2</v>
      </c>
      <c r="T29" s="191">
        <f>HLOOKUP(T$3,'Implementing Areas'!$B$53:$K$64,11,FALSE)</f>
        <v>4.9054990519105349E-2</v>
      </c>
      <c r="U29" s="191">
        <f>HLOOKUP(U$3,'Implementing Areas'!$B$53:$K$64,11,FALSE)</f>
        <v>4.1278769031227909E-2</v>
      </c>
      <c r="V29" s="191">
        <f>HLOOKUP(V$3,'Implementing Areas'!$B$53:$K$64,11,FALSE)</f>
        <v>0.30173505566504666</v>
      </c>
      <c r="W29" s="191">
        <f>HLOOKUP(W$3,'Implementing Areas'!$B$53:$K$64,11,FALSE)</f>
        <v>1.047412096026603E-2</v>
      </c>
      <c r="X29" s="191">
        <f>HLOOKUP(X$3,'Implementing Areas'!$B$53:$K$64,11,FALSE)</f>
        <v>0</v>
      </c>
      <c r="Y29" s="191">
        <f>HLOOKUP(Y$3,'Implementing Areas'!$B$53:$K$64,11,FALSE)</f>
        <v>1.047412096026603E-2</v>
      </c>
      <c r="Z29" s="191">
        <f>HLOOKUP(Z$3,'Implementing Areas'!$B$53:$K$64,11,FALSE)</f>
        <v>2.0318608039790124E-2</v>
      </c>
      <c r="AA29" s="191">
        <f>HLOOKUP(AA$3,'Implementing Areas'!$B$53:$K$64,11,FALSE)</f>
        <v>1.6680284035027977E-2</v>
      </c>
      <c r="AB29" s="193">
        <f>(VLOOKUP($F29,'ER Target'!$C$3:$D$10,2,FALSE))*'Program Activity-Rev'!R29*'ER Target'!$D$12</f>
        <v>1.444756916092977E-3</v>
      </c>
      <c r="AC29" s="193">
        <f>(VLOOKUP($F29,'ER Target'!$C$3:$D$10,2,FALSE))*'Program Activity-Rev'!S29*'ER Target'!$D$12</f>
        <v>1.7169246681686874E-3</v>
      </c>
      <c r="AD29" s="193">
        <f>(VLOOKUP($F29,'ER Target'!$C$3:$D$10,2,FALSE))*'Program Activity-Rev'!T29*'ER Target'!$D$12</f>
        <v>1.7169246681686874E-3</v>
      </c>
      <c r="AE29" s="193">
        <f>(VLOOKUP($F29,'ER Target'!$C$3:$D$10,2,FALSE))*'Program Activity-Rev'!U29*'ER Target'!$D$12</f>
        <v>1.444756916092977E-3</v>
      </c>
      <c r="AF29" s="193">
        <f>(VLOOKUP($F29,'ER Target'!$C$3:$D$10,2,FALSE))*'Program Activity-Rev'!V29*'ER Target'!$D$12</f>
        <v>1.0560726948276634E-2</v>
      </c>
      <c r="AG29" s="193">
        <f>(VLOOKUP($F29,'ER Target'!$C$3:$D$10,2,FALSE))*'Program Activity-Rev'!W29*'ER Target'!$D$12</f>
        <v>3.6659423360931107E-4</v>
      </c>
      <c r="AH29" s="193">
        <f>(VLOOKUP($F29,'ER Target'!$C$3:$D$10,2,FALSE))*'Program Activity-Rev'!X29*'ER Target'!$D$12</f>
        <v>0</v>
      </c>
      <c r="AI29" s="193">
        <f>(VLOOKUP($F29,'ER Target'!$C$3:$D$10,2,FALSE))*'Program Activity-Rev'!Y29*'ER Target'!$D$12</f>
        <v>3.6659423360931107E-4</v>
      </c>
      <c r="AJ29" s="193">
        <f>(VLOOKUP($F29,'ER Target'!$C$3:$D$10,2,FALSE))*'Program Activity-Rev'!Z29*'ER Target'!$D$12</f>
        <v>7.1115128139265444E-4</v>
      </c>
      <c r="AK29" s="193">
        <f>(VLOOKUP($F29,'ER Target'!$C$3:$D$10,2,FALSE))*'Program Activity-Rev'!AA29*'ER Target'!$D$12</f>
        <v>5.8380994122597923E-4</v>
      </c>
      <c r="AL29" s="195">
        <f t="shared" si="1"/>
        <v>96.040215997280654</v>
      </c>
      <c r="AM29" s="195">
        <f t="shared" si="3"/>
        <v>43.683714332215914</v>
      </c>
      <c r="AN29" s="195">
        <f t="shared" si="4"/>
        <v>12.461439241568334</v>
      </c>
      <c r="AO29" s="195">
        <f t="shared" si="5"/>
        <v>0.72237845804648848</v>
      </c>
      <c r="AP29" s="195">
        <f t="shared" si="6"/>
        <v>2.2705562938794763</v>
      </c>
      <c r="AQ29" s="195">
        <f t="shared" si="7"/>
        <v>1.4399821496173739</v>
      </c>
      <c r="AR29" s="195">
        <f t="shared" si="8"/>
        <v>0</v>
      </c>
      <c r="AS29" s="195">
        <f t="shared" si="9"/>
        <v>1.8329711680465555E-3</v>
      </c>
      <c r="AT29" s="195">
        <f t="shared" si="10"/>
        <v>1.2701161885672809</v>
      </c>
      <c r="AU29" s="195">
        <f t="shared" si="11"/>
        <v>0.30825164896731705</v>
      </c>
      <c r="AV29" s="197">
        <f>HLOOKUP(AV$2,'Baseline FRL'!$B$23:$O$28,6,FALSE)*'Program Activity-Rev'!AL29</f>
        <v>35734.568440908544</v>
      </c>
      <c r="AW29" s="197">
        <f>HLOOKUP(AW$2,'Baseline FRL'!$B$23:$O$28,6,FALSE)*'Program Activity-Rev'!AM29</f>
        <v>1647.6604932054261</v>
      </c>
      <c r="AX29" s="197">
        <f>HLOOKUP(AX$2,'Baseline FRL'!$B$23:$O$28,6,FALSE)*'Program Activity-Rev'!AN29</f>
        <v>6343.0373987264265</v>
      </c>
      <c r="AY29" s="197">
        <f>HLOOKUP(AY$2,'Baseline FRL'!$B$23:$O$28,6,FALSE)*'Program Activity-Rev'!AO29</f>
        <v>36.355863036563676</v>
      </c>
      <c r="AZ29" s="197">
        <f>HLOOKUP(AZ$2,'Baseline FRL'!$B$23:$O$28,6,FALSE)*'Program Activity-Rev'!AP29</f>
        <v>110.80314714131843</v>
      </c>
      <c r="BA29" s="197">
        <f>HLOOKUP(BA$2,'Baseline FRL'!$B$23:$O$28,6,FALSE)*'Program Activity-Rev'!AQ29</f>
        <v>299.36085116536344</v>
      </c>
      <c r="BB29" s="197">
        <f>HLOOKUP(BB$2,'Baseline FRL'!$B$23:$O$28,6,FALSE)*'Program Activity-Rev'!AR29</f>
        <v>0</v>
      </c>
      <c r="BC29" s="197">
        <f>HLOOKUP(BC$2,'Baseline FRL'!$B$23:$O$28,6,FALSE)*'Program Activity-Rev'!AS29</f>
        <v>7.5885006357127388E-2</v>
      </c>
      <c r="BD29" s="197">
        <f>HLOOKUP(BD$2,'Baseline FRL'!$B$23:$O$28,6,FALSE)*'Program Activity-Rev'!AT29</f>
        <v>454.96472148120188</v>
      </c>
      <c r="BE29" s="197">
        <f>HLOOKUP(BE$2,'Baseline FRL'!$B$23:$O$28,6,FALSE)*'Program Activity-Rev'!AU29</f>
        <v>12.884685402857361</v>
      </c>
      <c r="BF29" s="198">
        <f>SUM(AV29:BE29)</f>
        <v>44639.711486074062</v>
      </c>
    </row>
    <row r="30" spans="1:58" ht="28.8" x14ac:dyDescent="0.3">
      <c r="A30" s="93" t="s">
        <v>401</v>
      </c>
      <c r="B30" s="92" t="s">
        <v>424</v>
      </c>
      <c r="C30" s="229" t="s">
        <v>426</v>
      </c>
      <c r="D30" s="229" t="s">
        <v>430</v>
      </c>
      <c r="E30" s="229" t="s">
        <v>423</v>
      </c>
      <c r="F30" s="93" t="s">
        <v>44</v>
      </c>
      <c r="G30" s="93" t="s">
        <v>115</v>
      </c>
      <c r="H30" s="189">
        <f>HLOOKUP(H$2,'Baseline FRL'!$B$23:$O$28,5,FALSE)</f>
        <v>66475</v>
      </c>
      <c r="I30" s="189">
        <f>HLOOKUP(I$2,'Baseline FRL'!$B$23:$O$28,5,FALSE)</f>
        <v>25443</v>
      </c>
      <c r="J30" s="189">
        <f>HLOOKUP(J$2,'Baseline FRL'!$B$23:$O$28,5,FALSE)</f>
        <v>7258</v>
      </c>
      <c r="K30" s="189">
        <f>HLOOKUP(K$2,'Baseline FRL'!$B$23:$O$28,5,FALSE)</f>
        <v>500</v>
      </c>
      <c r="L30" s="189">
        <f>HLOOKUP(L$2,'Baseline FRL'!$B$23:$O$28,5,FALSE)</f>
        <v>215</v>
      </c>
      <c r="M30" s="189">
        <f>HLOOKUP(M$2,'Baseline FRL'!$B$23:$O$28,5,FALSE)</f>
        <v>3928</v>
      </c>
      <c r="N30" s="189">
        <f>HLOOKUP(N$2,'Baseline FRL'!$B$23:$O$28,5,FALSE)</f>
        <v>508</v>
      </c>
      <c r="O30" s="189">
        <f>HLOOKUP(O$2,'Baseline FRL'!$B$23:$O$28,5,FALSE)</f>
        <v>5</v>
      </c>
      <c r="P30" s="189">
        <f>HLOOKUP(P$2,'Baseline FRL'!$B$23:$O$28,5,FALSE)</f>
        <v>1786</v>
      </c>
      <c r="Q30" s="189">
        <f>HLOOKUP(Q$2,'Baseline FRL'!$B$23:$O$28,5,FALSE)</f>
        <v>528</v>
      </c>
      <c r="R30" s="191">
        <f>HLOOKUP(R$3,'Implementing Areas'!$B$53:$K$64,11,FALSE)</f>
        <v>4.1278769031227909E-2</v>
      </c>
      <c r="S30" s="191">
        <f>HLOOKUP(S$3,'Implementing Areas'!$B$53:$K$64,11,FALSE)</f>
        <v>4.9054990519105349E-2</v>
      </c>
      <c r="T30" s="191">
        <f>HLOOKUP(T$3,'Implementing Areas'!$B$53:$K$64,11,FALSE)</f>
        <v>4.9054990519105349E-2</v>
      </c>
      <c r="U30" s="191">
        <f>HLOOKUP(U$3,'Implementing Areas'!$B$53:$K$64,11,FALSE)</f>
        <v>4.1278769031227909E-2</v>
      </c>
      <c r="V30" s="191">
        <f>HLOOKUP(V$3,'Implementing Areas'!$B$53:$K$64,11,FALSE)</f>
        <v>0.30173505566504666</v>
      </c>
      <c r="W30" s="191">
        <f>HLOOKUP(W$3,'Implementing Areas'!$B$53:$K$64,11,FALSE)</f>
        <v>1.047412096026603E-2</v>
      </c>
      <c r="X30" s="191">
        <f>HLOOKUP(X$3,'Implementing Areas'!$B$53:$K$64,11,FALSE)</f>
        <v>0</v>
      </c>
      <c r="Y30" s="191">
        <f>HLOOKUP(Y$3,'Implementing Areas'!$B$53:$K$64,11,FALSE)</f>
        <v>1.047412096026603E-2</v>
      </c>
      <c r="Z30" s="191">
        <f>HLOOKUP(Z$3,'Implementing Areas'!$B$53:$K$64,11,FALSE)</f>
        <v>2.0318608039790124E-2</v>
      </c>
      <c r="AA30" s="191">
        <f>HLOOKUP(AA$3,'Implementing Areas'!$B$53:$K$64,11,FALSE)</f>
        <v>1.6680284035027977E-2</v>
      </c>
      <c r="AB30" s="193">
        <f>(VLOOKUP($F30,'ER Target'!$C$3:$D$10,2,FALSE))*'Program Activity-Rev'!R30*'ER Target'!$D$12</f>
        <v>1.444756916092977E-3</v>
      </c>
      <c r="AC30" s="193">
        <f>(VLOOKUP($F30,'ER Target'!$C$3:$D$10,2,FALSE))*'Program Activity-Rev'!S30*'ER Target'!$D$12</f>
        <v>1.7169246681686874E-3</v>
      </c>
      <c r="AD30" s="193">
        <f>(VLOOKUP($F30,'ER Target'!$C$3:$D$10,2,FALSE))*'Program Activity-Rev'!T30*'ER Target'!$D$12</f>
        <v>1.7169246681686874E-3</v>
      </c>
      <c r="AE30" s="193">
        <f>(VLOOKUP($F30,'ER Target'!$C$3:$D$10,2,FALSE))*'Program Activity-Rev'!U30*'ER Target'!$D$12</f>
        <v>1.444756916092977E-3</v>
      </c>
      <c r="AF30" s="193">
        <f>(VLOOKUP($F30,'ER Target'!$C$3:$D$10,2,FALSE))*'Program Activity-Rev'!V30*'ER Target'!$D$12</f>
        <v>1.0560726948276634E-2</v>
      </c>
      <c r="AG30" s="193">
        <f>(VLOOKUP($F30,'ER Target'!$C$3:$D$10,2,FALSE))*'Program Activity-Rev'!W30*'ER Target'!$D$12</f>
        <v>3.6659423360931107E-4</v>
      </c>
      <c r="AH30" s="193">
        <f>(VLOOKUP($F30,'ER Target'!$C$3:$D$10,2,FALSE))*'Program Activity-Rev'!X30*'ER Target'!$D$12</f>
        <v>0</v>
      </c>
      <c r="AI30" s="193">
        <f>(VLOOKUP($F30,'ER Target'!$C$3:$D$10,2,FALSE))*'Program Activity-Rev'!Y30*'ER Target'!$D$12</f>
        <v>3.6659423360931107E-4</v>
      </c>
      <c r="AJ30" s="193">
        <f>(VLOOKUP($F30,'ER Target'!$C$3:$D$10,2,FALSE))*'Program Activity-Rev'!Z30*'ER Target'!$D$12</f>
        <v>7.1115128139265444E-4</v>
      </c>
      <c r="AK30" s="193">
        <f>(VLOOKUP($F30,'ER Target'!$C$3:$D$10,2,FALSE))*'Program Activity-Rev'!AA30*'ER Target'!$D$12</f>
        <v>5.8380994122597923E-4</v>
      </c>
      <c r="AL30" s="195">
        <f t="shared" si="1"/>
        <v>96.040215997280654</v>
      </c>
      <c r="AM30" s="195">
        <f t="shared" si="3"/>
        <v>43.683714332215914</v>
      </c>
      <c r="AN30" s="195">
        <f t="shared" si="4"/>
        <v>12.461439241568334</v>
      </c>
      <c r="AO30" s="195">
        <f t="shared" si="5"/>
        <v>0.72237845804648848</v>
      </c>
      <c r="AP30" s="195">
        <f t="shared" si="6"/>
        <v>2.2705562938794763</v>
      </c>
      <c r="AQ30" s="195">
        <f t="shared" si="7"/>
        <v>1.4399821496173739</v>
      </c>
      <c r="AR30" s="195">
        <f t="shared" si="8"/>
        <v>0</v>
      </c>
      <c r="AS30" s="195">
        <f t="shared" si="9"/>
        <v>1.8329711680465555E-3</v>
      </c>
      <c r="AT30" s="195">
        <f t="shared" si="10"/>
        <v>1.2701161885672809</v>
      </c>
      <c r="AU30" s="195">
        <f t="shared" si="11"/>
        <v>0.30825164896731705</v>
      </c>
      <c r="AV30" s="197">
        <f>HLOOKUP(AV$2,'Baseline FRL'!$B$23:$O$28,6,FALSE)*'Program Activity-Rev'!AL30</f>
        <v>35734.568440908544</v>
      </c>
      <c r="AW30" s="197">
        <f>HLOOKUP(AW$2,'Baseline FRL'!$B$23:$O$28,6,FALSE)*'Program Activity-Rev'!AM30</f>
        <v>1647.6604932054261</v>
      </c>
      <c r="AX30" s="197">
        <f>HLOOKUP(AX$2,'Baseline FRL'!$B$23:$O$28,6,FALSE)*'Program Activity-Rev'!AN30</f>
        <v>6343.0373987264265</v>
      </c>
      <c r="AY30" s="197">
        <f>HLOOKUP(AY$2,'Baseline FRL'!$B$23:$O$28,6,FALSE)*'Program Activity-Rev'!AO30</f>
        <v>36.355863036563676</v>
      </c>
      <c r="AZ30" s="197">
        <f>HLOOKUP(AZ$2,'Baseline FRL'!$B$23:$O$28,6,FALSE)*'Program Activity-Rev'!AP30</f>
        <v>110.80314714131843</v>
      </c>
      <c r="BA30" s="197">
        <f>HLOOKUP(BA$2,'Baseline FRL'!$B$23:$O$28,6,FALSE)*'Program Activity-Rev'!AQ30</f>
        <v>299.36085116536344</v>
      </c>
      <c r="BB30" s="197">
        <f>HLOOKUP(BB$2,'Baseline FRL'!$B$23:$O$28,6,FALSE)*'Program Activity-Rev'!AR30</f>
        <v>0</v>
      </c>
      <c r="BC30" s="197">
        <f>HLOOKUP(BC$2,'Baseline FRL'!$B$23:$O$28,6,FALSE)*'Program Activity-Rev'!AS30</f>
        <v>7.5885006357127388E-2</v>
      </c>
      <c r="BD30" s="197">
        <f>HLOOKUP(BD$2,'Baseline FRL'!$B$23:$O$28,6,FALSE)*'Program Activity-Rev'!AT30</f>
        <v>454.96472148120188</v>
      </c>
      <c r="BE30" s="197">
        <f>HLOOKUP(BE$2,'Baseline FRL'!$B$23:$O$28,6,FALSE)*'Program Activity-Rev'!AU30</f>
        <v>12.884685402857361</v>
      </c>
      <c r="BF30" s="198">
        <f t="shared" si="2"/>
        <v>44639.711486074062</v>
      </c>
    </row>
    <row r="31" spans="1:58" x14ac:dyDescent="0.3">
      <c r="A31" s="92" t="s">
        <v>431</v>
      </c>
      <c r="C31" s="93"/>
      <c r="D31" s="93"/>
      <c r="E31" s="93"/>
      <c r="F31" s="93"/>
      <c r="G31" s="93"/>
      <c r="H31" s="189"/>
      <c r="I31" s="189"/>
      <c r="J31" s="189"/>
      <c r="K31" s="189"/>
      <c r="L31" s="189"/>
      <c r="M31" s="189"/>
      <c r="N31" s="189"/>
      <c r="O31" s="189"/>
      <c r="P31" s="189"/>
      <c r="Q31" s="189"/>
      <c r="R31" s="191"/>
      <c r="S31" s="191"/>
      <c r="T31" s="191"/>
      <c r="U31" s="191"/>
      <c r="V31" s="191"/>
      <c r="W31" s="191"/>
      <c r="X31" s="191"/>
      <c r="Y31" s="191"/>
      <c r="Z31" s="191"/>
      <c r="AA31" s="191"/>
      <c r="AB31" s="193"/>
      <c r="AC31" s="193"/>
      <c r="AD31" s="193"/>
      <c r="AE31" s="193"/>
      <c r="AF31" s="193"/>
      <c r="AG31" s="193"/>
      <c r="AH31" s="193"/>
      <c r="AI31" s="193"/>
      <c r="AJ31" s="193"/>
      <c r="AK31" s="193"/>
      <c r="AL31" s="195"/>
      <c r="AM31" s="195"/>
      <c r="AN31" s="195"/>
      <c r="AO31" s="195"/>
      <c r="AP31" s="195"/>
      <c r="AQ31" s="195"/>
      <c r="AR31" s="195"/>
      <c r="AS31" s="195"/>
      <c r="AT31" s="195"/>
      <c r="AU31" s="195"/>
      <c r="AV31" s="197"/>
      <c r="AW31" s="197"/>
      <c r="AX31" s="197"/>
      <c r="AY31" s="197"/>
      <c r="AZ31" s="197"/>
      <c r="BA31" s="197"/>
      <c r="BB31" s="197"/>
      <c r="BC31" s="197"/>
      <c r="BD31" s="197"/>
      <c r="BE31" s="197"/>
      <c r="BF31" s="198"/>
    </row>
    <row r="32" spans="1:58" ht="57.6" x14ac:dyDescent="0.3">
      <c r="A32" s="92" t="s">
        <v>431</v>
      </c>
      <c r="B32" s="89" t="s">
        <v>432</v>
      </c>
      <c r="C32" s="232"/>
      <c r="D32" s="232"/>
      <c r="E32" s="232" t="s">
        <v>433</v>
      </c>
      <c r="F32" s="93"/>
      <c r="G32" s="93"/>
      <c r="H32" s="189"/>
      <c r="I32" s="189"/>
      <c r="J32" s="189"/>
      <c r="K32" s="189"/>
      <c r="L32" s="189"/>
      <c r="M32" s="189"/>
      <c r="N32" s="189"/>
      <c r="O32" s="189"/>
      <c r="P32" s="189"/>
      <c r="Q32" s="189"/>
      <c r="R32" s="191"/>
      <c r="S32" s="191"/>
      <c r="T32" s="191"/>
      <c r="U32" s="191"/>
      <c r="V32" s="191"/>
      <c r="W32" s="191"/>
      <c r="X32" s="191"/>
      <c r="Y32" s="191"/>
      <c r="Z32" s="191"/>
      <c r="AA32" s="191"/>
      <c r="AB32" s="193"/>
      <c r="AC32" s="193"/>
      <c r="AD32" s="193"/>
      <c r="AE32" s="193"/>
      <c r="AF32" s="193"/>
      <c r="AG32" s="193"/>
      <c r="AH32" s="193"/>
      <c r="AI32" s="193"/>
      <c r="AJ32" s="193"/>
      <c r="AK32" s="193"/>
      <c r="AL32" s="195"/>
      <c r="AM32" s="195"/>
      <c r="AN32" s="195"/>
      <c r="AO32" s="195"/>
      <c r="AP32" s="195"/>
      <c r="AQ32" s="195"/>
      <c r="AR32" s="195"/>
      <c r="AS32" s="195"/>
      <c r="AT32" s="195"/>
      <c r="AU32" s="195"/>
      <c r="AV32" s="197"/>
      <c r="AW32" s="197"/>
      <c r="AX32" s="197"/>
      <c r="AY32" s="197"/>
      <c r="AZ32" s="197"/>
      <c r="BA32" s="197"/>
      <c r="BB32" s="197"/>
      <c r="BC32" s="197"/>
      <c r="BD32" s="197"/>
      <c r="BE32" s="197"/>
      <c r="BF32" s="198"/>
    </row>
    <row r="33" spans="1:58" s="6" customFormat="1" x14ac:dyDescent="0.3">
      <c r="A33" s="92" t="s">
        <v>431</v>
      </c>
      <c r="B33" s="89" t="s">
        <v>432</v>
      </c>
      <c r="C33" s="227" t="s">
        <v>434</v>
      </c>
      <c r="D33" s="227" t="s">
        <v>436</v>
      </c>
      <c r="E33" s="227" t="s">
        <v>435</v>
      </c>
      <c r="F33" s="89" t="s">
        <v>44</v>
      </c>
      <c r="G33" s="89" t="s">
        <v>252</v>
      </c>
      <c r="H33" s="189">
        <f>HLOOKUP(H$2,'Baseline FRL'!$B$23:$O$28,5,FALSE)</f>
        <v>66475</v>
      </c>
      <c r="I33" s="189">
        <f>HLOOKUP(I$2,'Baseline FRL'!$B$23:$O$28,5,FALSE)</f>
        <v>25443</v>
      </c>
      <c r="J33" s="189">
        <f>HLOOKUP(J$2,'Baseline FRL'!$B$23:$O$28,5,FALSE)</f>
        <v>7258</v>
      </c>
      <c r="K33" s="189">
        <f>HLOOKUP(K$2,'Baseline FRL'!$B$23:$O$28,5,FALSE)</f>
        <v>500</v>
      </c>
      <c r="L33" s="189">
        <f>HLOOKUP(L$2,'Baseline FRL'!$B$23:$O$28,5,FALSE)</f>
        <v>215</v>
      </c>
      <c r="M33" s="189">
        <f>HLOOKUP(M$2,'Baseline FRL'!$B$23:$O$28,5,FALSE)</f>
        <v>3928</v>
      </c>
      <c r="N33" s="189">
        <f>HLOOKUP(N$2,'Baseline FRL'!$B$23:$O$28,5,FALSE)</f>
        <v>508</v>
      </c>
      <c r="O33" s="189">
        <f>HLOOKUP(O$2,'Baseline FRL'!$B$23:$O$28,5,FALSE)</f>
        <v>5</v>
      </c>
      <c r="P33" s="189">
        <f>HLOOKUP(P$2,'Baseline FRL'!$B$23:$O$28,5,FALSE)</f>
        <v>1786</v>
      </c>
      <c r="Q33" s="189">
        <f>HLOOKUP(Q$2,'Baseline FRL'!$B$23:$O$28,5,FALSE)</f>
        <v>528</v>
      </c>
      <c r="R33" s="191">
        <f>HLOOKUP(R$3,'Implementing Areas'!$B$53:$K$64,3,FALSE)</f>
        <v>0.81728319627446899</v>
      </c>
      <c r="S33" s="191">
        <f>HLOOKUP(S$3,'Implementing Areas'!$B$53:$K$64,3,FALSE)</f>
        <v>0.7830246708410511</v>
      </c>
      <c r="T33" s="191">
        <f>HLOOKUP(T$3,'Implementing Areas'!$B$53:$K$64,3,FALSE)</f>
        <v>0.7830246708410511</v>
      </c>
      <c r="U33" s="191">
        <f>HLOOKUP(U$3,'Implementing Areas'!$B$53:$K$64,3,FALSE)</f>
        <v>0.81728319627446899</v>
      </c>
      <c r="V33" s="191">
        <f>HLOOKUP(V$3,'Implementing Areas'!$B$53:$K$64,3,FALSE)</f>
        <v>0.78695170947819271</v>
      </c>
      <c r="W33" s="191">
        <f>HLOOKUP(W$3,'Implementing Areas'!$B$53:$K$64,3,FALSE)</f>
        <v>0.86006671184589323</v>
      </c>
      <c r="X33" s="191">
        <f>HLOOKUP(X$3,'Implementing Areas'!$B$53:$K$64,3,FALSE)</f>
        <v>0</v>
      </c>
      <c r="Y33" s="191">
        <f>HLOOKUP(Y$3,'Implementing Areas'!$B$53:$K$64,3,FALSE)</f>
        <v>0.86006671184589323</v>
      </c>
      <c r="Z33" s="191">
        <f>HLOOKUP(Z$3,'Implementing Areas'!$B$53:$K$64,3,FALSE)</f>
        <v>0.77250477095755521</v>
      </c>
      <c r="AA33" s="191">
        <f>HLOOKUP(AA$3,'Implementing Areas'!$B$53:$K$64,3,FALSE)</f>
        <v>0.75074731289911101</v>
      </c>
      <c r="AB33" s="193">
        <f>(VLOOKUP($F33,'ER Target'!$C$3:$D$10,2,FALSE))*'Program Activity-Rev'!R33*'ER Target'!$D$12</f>
        <v>2.8604911869606418E-2</v>
      </c>
      <c r="AC33" s="193">
        <f>(VLOOKUP($F33,'ER Target'!$C$3:$D$10,2,FALSE))*'Program Activity-Rev'!S33*'ER Target'!$D$12</f>
        <v>2.7405863479436791E-2</v>
      </c>
      <c r="AD33" s="193">
        <f>(VLOOKUP($F33,'ER Target'!$C$3:$D$10,2,FALSE))*'Program Activity-Rev'!T33*'ER Target'!$D$12</f>
        <v>2.7405863479436791E-2</v>
      </c>
      <c r="AE33" s="193">
        <f>(VLOOKUP($F33,'ER Target'!$C$3:$D$10,2,FALSE))*'Program Activity-Rev'!U33*'ER Target'!$D$12</f>
        <v>2.8604911869606418E-2</v>
      </c>
      <c r="AF33" s="193">
        <f>(VLOOKUP($F33,'ER Target'!$C$3:$D$10,2,FALSE))*'Program Activity-Rev'!V33*'ER Target'!$D$12</f>
        <v>2.7543309831736747E-2</v>
      </c>
      <c r="AG33" s="193">
        <f>(VLOOKUP($F33,'ER Target'!$C$3:$D$10,2,FALSE))*'Program Activity-Rev'!W33*'ER Target'!$D$12</f>
        <v>3.0102334914606267E-2</v>
      </c>
      <c r="AH33" s="193">
        <f>(VLOOKUP($F33,'ER Target'!$C$3:$D$10,2,FALSE))*'Program Activity-Rev'!X33*'ER Target'!$D$12</f>
        <v>0</v>
      </c>
      <c r="AI33" s="193">
        <f>(VLOOKUP($F33,'ER Target'!$C$3:$D$10,2,FALSE))*'Program Activity-Rev'!Y33*'ER Target'!$D$12</f>
        <v>3.0102334914606267E-2</v>
      </c>
      <c r="AJ33" s="193">
        <f>(VLOOKUP($F33,'ER Target'!$C$3:$D$10,2,FALSE))*'Program Activity-Rev'!Z33*'ER Target'!$D$12</f>
        <v>2.7037666983514435E-2</v>
      </c>
      <c r="AK33" s="193">
        <f>(VLOOKUP($F33,'ER Target'!$C$3:$D$10,2,FALSE))*'Program Activity-Rev'!AA33*'ER Target'!$D$12</f>
        <v>2.6276155951468889E-2</v>
      </c>
      <c r="AL33" s="195">
        <f>H33*AB33</f>
        <v>1901.5115165320867</v>
      </c>
      <c r="AM33" s="195">
        <f t="shared" si="3"/>
        <v>697.28738450731032</v>
      </c>
      <c r="AN33" s="195">
        <f t="shared" si="4"/>
        <v>198.91175713375222</v>
      </c>
      <c r="AO33" s="195">
        <f t="shared" si="5"/>
        <v>14.302455934803209</v>
      </c>
      <c r="AP33" s="195">
        <f t="shared" si="6"/>
        <v>5.9218116138234009</v>
      </c>
      <c r="AQ33" s="195">
        <f t="shared" si="7"/>
        <v>118.24197154457342</v>
      </c>
      <c r="AR33" s="195">
        <f t="shared" si="8"/>
        <v>0</v>
      </c>
      <c r="AS33" s="195">
        <f t="shared" si="9"/>
        <v>0.15051167457303133</v>
      </c>
      <c r="AT33" s="195">
        <f t="shared" si="10"/>
        <v>48.289273232556781</v>
      </c>
      <c r="AU33" s="195">
        <f t="shared" si="11"/>
        <v>13.873810342375574</v>
      </c>
      <c r="AV33" s="197">
        <f>HLOOKUP(AV$2,'Baseline FRL'!$B$23:$O$28,6,FALSE)*'Program Activity-Rev'!AL33</f>
        <v>707512.91761584161</v>
      </c>
      <c r="AW33" s="197">
        <f>HLOOKUP(AW$2,'Baseline FRL'!$B$23:$O$28,6,FALSE)*'Program Activity-Rev'!AM33</f>
        <v>26300.256134949352</v>
      </c>
      <c r="AX33" s="197">
        <f>HLOOKUP(AX$2,'Baseline FRL'!$B$23:$O$28,6,FALSE)*'Program Activity-Rev'!AN33</f>
        <v>101248.7153439739</v>
      </c>
      <c r="AY33" s="197">
        <f>HLOOKUP(AY$2,'Baseline FRL'!$B$23:$O$28,6,FALSE)*'Program Activity-Rev'!AO33</f>
        <v>719.81400228677592</v>
      </c>
      <c r="AZ33" s="197">
        <f>HLOOKUP(AZ$2,'Baseline FRL'!$B$23:$O$28,6,FALSE)*'Program Activity-Rev'!AP33</f>
        <v>288.98440675458193</v>
      </c>
      <c r="BA33" s="197">
        <f>HLOOKUP(BA$2,'Baseline FRL'!$B$23:$O$28,6,FALSE)*'Program Activity-Rev'!AQ33</f>
        <v>24581.566691267479</v>
      </c>
      <c r="BB33" s="197">
        <f>HLOOKUP(BB$2,'Baseline FRL'!$B$23:$O$28,6,FALSE)*'Program Activity-Rev'!AR33</f>
        <v>0</v>
      </c>
      <c r="BC33" s="197">
        <f>HLOOKUP(BC$2,'Baseline FRL'!$B$23:$O$28,6,FALSE)*'Program Activity-Rev'!AS33</f>
        <v>6.2311833273234969</v>
      </c>
      <c r="BD33" s="197">
        <f>HLOOKUP(BD$2,'Baseline FRL'!$B$23:$O$28,6,FALSE)*'Program Activity-Rev'!AT33</f>
        <v>17297.563754039227</v>
      </c>
      <c r="BE33" s="197">
        <f>HLOOKUP(BE$2,'Baseline FRL'!$B$23:$O$28,6,FALSE)*'Program Activity-Rev'!AU33</f>
        <v>579.91476184891837</v>
      </c>
      <c r="BF33" s="198">
        <f t="shared" si="2"/>
        <v>878535.96389428922</v>
      </c>
    </row>
    <row r="34" spans="1:58" s="6" customFormat="1" x14ac:dyDescent="0.3">
      <c r="A34" s="92" t="s">
        <v>431</v>
      </c>
      <c r="B34" s="89" t="s">
        <v>432</v>
      </c>
      <c r="C34" s="228" t="s">
        <v>434</v>
      </c>
      <c r="D34" s="229" t="s">
        <v>436</v>
      </c>
      <c r="E34" s="229" t="s">
        <v>437</v>
      </c>
      <c r="F34" s="89"/>
      <c r="G34" s="89"/>
      <c r="H34" s="189"/>
      <c r="I34" s="189"/>
      <c r="J34" s="189"/>
      <c r="K34" s="189"/>
      <c r="L34" s="189"/>
      <c r="M34" s="189"/>
      <c r="N34" s="189"/>
      <c r="O34" s="189"/>
      <c r="P34" s="189"/>
      <c r="Q34" s="189"/>
      <c r="R34" s="191"/>
      <c r="S34" s="191"/>
      <c r="T34" s="191"/>
      <c r="U34" s="191"/>
      <c r="V34" s="191"/>
      <c r="W34" s="191"/>
      <c r="X34" s="191"/>
      <c r="Y34" s="191"/>
      <c r="Z34" s="191"/>
      <c r="AA34" s="191"/>
      <c r="AB34" s="193"/>
      <c r="AC34" s="193"/>
      <c r="AD34" s="193"/>
      <c r="AE34" s="193"/>
      <c r="AF34" s="193"/>
      <c r="AG34" s="193"/>
      <c r="AH34" s="193"/>
      <c r="AI34" s="193"/>
      <c r="AJ34" s="193"/>
      <c r="AK34" s="193"/>
      <c r="AL34" s="195"/>
      <c r="AM34" s="195"/>
      <c r="AN34" s="195"/>
      <c r="AO34" s="195"/>
      <c r="AP34" s="195"/>
      <c r="AQ34" s="195"/>
      <c r="AR34" s="195"/>
      <c r="AS34" s="195"/>
      <c r="AT34" s="195"/>
      <c r="AU34" s="195"/>
      <c r="AV34" s="197"/>
      <c r="AW34" s="197"/>
      <c r="AX34" s="197"/>
      <c r="AY34" s="197"/>
      <c r="AZ34" s="197"/>
      <c r="BA34" s="197"/>
      <c r="BB34" s="197"/>
      <c r="BC34" s="197"/>
      <c r="BD34" s="197"/>
      <c r="BE34" s="197"/>
      <c r="BF34" s="198"/>
    </row>
    <row r="35" spans="1:58" s="6" customFormat="1" ht="43.2" x14ac:dyDescent="0.3">
      <c r="A35" s="92" t="s">
        <v>431</v>
      </c>
      <c r="B35" s="89" t="s">
        <v>432</v>
      </c>
      <c r="C35" s="227" t="s">
        <v>438</v>
      </c>
      <c r="D35" s="227"/>
      <c r="E35" s="227" t="s">
        <v>253</v>
      </c>
      <c r="F35" s="89" t="s">
        <v>44</v>
      </c>
      <c r="G35" s="89" t="s">
        <v>251</v>
      </c>
      <c r="H35" s="189"/>
      <c r="I35" s="189"/>
      <c r="J35" s="189"/>
      <c r="K35" s="189"/>
      <c r="L35" s="189"/>
      <c r="M35" s="189"/>
      <c r="N35" s="189"/>
      <c r="O35" s="189"/>
      <c r="P35" s="189"/>
      <c r="Q35" s="189"/>
      <c r="R35" s="190"/>
      <c r="S35" s="190"/>
      <c r="T35" s="190"/>
      <c r="U35" s="190"/>
      <c r="V35" s="190"/>
      <c r="W35" s="190"/>
      <c r="X35" s="190"/>
      <c r="Y35" s="190"/>
      <c r="Z35" s="190"/>
      <c r="AA35" s="190"/>
      <c r="AB35" s="193"/>
      <c r="AC35" s="193"/>
      <c r="AD35" s="193"/>
      <c r="AE35" s="193"/>
      <c r="AF35" s="193"/>
      <c r="AG35" s="193"/>
      <c r="AH35" s="193"/>
      <c r="AI35" s="193"/>
      <c r="AJ35" s="193"/>
      <c r="AK35" s="193"/>
      <c r="AL35" s="195"/>
      <c r="AM35" s="195"/>
      <c r="AN35" s="195"/>
      <c r="AO35" s="195"/>
      <c r="AP35" s="195"/>
      <c r="AQ35" s="195"/>
      <c r="AR35" s="195"/>
      <c r="AS35" s="195"/>
      <c r="AT35" s="195"/>
      <c r="AU35" s="195"/>
      <c r="AV35" s="197"/>
      <c r="AW35" s="197"/>
      <c r="AX35" s="197"/>
      <c r="AY35" s="197"/>
      <c r="AZ35" s="197"/>
      <c r="BA35" s="197"/>
      <c r="BB35" s="197"/>
      <c r="BC35" s="197"/>
      <c r="BD35" s="197"/>
      <c r="BE35" s="197"/>
      <c r="BF35" s="198"/>
    </row>
    <row r="36" spans="1:58" x14ac:dyDescent="0.3">
      <c r="A36" s="92" t="s">
        <v>431</v>
      </c>
      <c r="B36" s="93" t="s">
        <v>432</v>
      </c>
      <c r="C36" s="228" t="s">
        <v>438</v>
      </c>
      <c r="D36" s="229" t="s">
        <v>439</v>
      </c>
      <c r="E36" s="229" t="s">
        <v>440</v>
      </c>
      <c r="F36" s="93" t="s">
        <v>338</v>
      </c>
      <c r="G36" s="93" t="s">
        <v>252</v>
      </c>
      <c r="H36" s="189">
        <f>HLOOKUP(H$2,'Baseline FRL'!$B$23:$O$28,5,FALSE)</f>
        <v>66475</v>
      </c>
      <c r="I36" s="189">
        <f>HLOOKUP(I$2,'Baseline FRL'!$B$23:$O$28,5,FALSE)</f>
        <v>25443</v>
      </c>
      <c r="J36" s="189">
        <f>HLOOKUP(J$2,'Baseline FRL'!$B$23:$O$28,5,FALSE)</f>
        <v>7258</v>
      </c>
      <c r="K36" s="189">
        <f>HLOOKUP(K$2,'Baseline FRL'!$B$23:$O$28,5,FALSE)</f>
        <v>500</v>
      </c>
      <c r="L36" s="189">
        <f>HLOOKUP(L$2,'Baseline FRL'!$B$23:$O$28,5,FALSE)</f>
        <v>215</v>
      </c>
      <c r="M36" s="189">
        <f>HLOOKUP(M$2,'Baseline FRL'!$B$23:$O$28,5,FALSE)</f>
        <v>3928</v>
      </c>
      <c r="N36" s="189">
        <f>HLOOKUP(N$2,'Baseline FRL'!$B$23:$O$28,5,FALSE)</f>
        <v>508</v>
      </c>
      <c r="O36" s="189">
        <f>HLOOKUP(O$2,'Baseline FRL'!$B$23:$O$28,5,FALSE)</f>
        <v>5</v>
      </c>
      <c r="P36" s="189">
        <f>HLOOKUP(P$2,'Baseline FRL'!$B$23:$O$28,5,FALSE)</f>
        <v>1786</v>
      </c>
      <c r="Q36" s="189">
        <f>HLOOKUP(Q$2,'Baseline FRL'!$B$23:$O$28,5,FALSE)</f>
        <v>528</v>
      </c>
      <c r="R36" s="191">
        <f>HLOOKUP(R$3,'Implementing Areas'!$B$53:$K$64,3,FALSE)</f>
        <v>0.81728319627446899</v>
      </c>
      <c r="S36" s="191">
        <f>HLOOKUP(S$3,'Implementing Areas'!$B$53:$K$64,3,FALSE)</f>
        <v>0.7830246708410511</v>
      </c>
      <c r="T36" s="191">
        <f>HLOOKUP(T$3,'Implementing Areas'!$B$53:$K$64,3,FALSE)</f>
        <v>0.7830246708410511</v>
      </c>
      <c r="U36" s="191">
        <f>HLOOKUP(U$3,'Implementing Areas'!$B$53:$K$64,3,FALSE)</f>
        <v>0.81728319627446899</v>
      </c>
      <c r="V36" s="191">
        <f>HLOOKUP(V$3,'Implementing Areas'!$B$53:$K$64,3,FALSE)</f>
        <v>0.78695170947819271</v>
      </c>
      <c r="W36" s="191">
        <f>HLOOKUP(W$3,'Implementing Areas'!$B$53:$K$64,3,FALSE)</f>
        <v>0.86006671184589323</v>
      </c>
      <c r="X36" s="191">
        <f>HLOOKUP(X$3,'Implementing Areas'!$B$53:$K$64,3,FALSE)</f>
        <v>0</v>
      </c>
      <c r="Y36" s="191">
        <f>HLOOKUP(Y$3,'Implementing Areas'!$B$53:$K$64,3,FALSE)</f>
        <v>0.86006671184589323</v>
      </c>
      <c r="Z36" s="191">
        <f>HLOOKUP(Z$3,'Implementing Areas'!$B$53:$K$64,3,FALSE)</f>
        <v>0.77250477095755521</v>
      </c>
      <c r="AA36" s="191">
        <f>HLOOKUP(AA$3,'Implementing Areas'!$B$53:$K$64,3,FALSE)</f>
        <v>0.75074731289911101</v>
      </c>
      <c r="AB36" s="193">
        <f>(VLOOKUP($F36,'ER Target'!$C$3:$D$10,2,FALSE))*'Program Activity-Rev'!R36*'ER Target'!$D$12</f>
        <v>2.9999745242791986E-2</v>
      </c>
      <c r="AC36" s="193">
        <f>(VLOOKUP($F36,'ER Target'!$C$3:$D$10,2,FALSE))*'Program Activity-Rev'!S36*'ER Target'!$D$12</f>
        <v>2.8742228827330168E-2</v>
      </c>
      <c r="AD36" s="193">
        <f>(VLOOKUP($F36,'ER Target'!$C$3:$D$10,2,FALSE))*'Program Activity-Rev'!T36*'ER Target'!$D$12</f>
        <v>2.8742228827330168E-2</v>
      </c>
      <c r="AE36" s="193">
        <f>(VLOOKUP($F36,'ER Target'!$C$3:$D$10,2,FALSE))*'Program Activity-Rev'!U36*'ER Target'!$D$12</f>
        <v>2.9999745242791986E-2</v>
      </c>
      <c r="AF36" s="193">
        <f>(VLOOKUP($F36,'ER Target'!$C$3:$D$10,2,FALSE))*'Program Activity-Rev'!V36*'ER Target'!$D$12</f>
        <v>2.8886377341835152E-2</v>
      </c>
      <c r="AG36" s="193">
        <f>(VLOOKUP($F36,'ER Target'!$C$3:$D$10,2,FALSE))*'Program Activity-Rev'!W36*'ER Target'!$D$12</f>
        <v>3.1570185664893495E-2</v>
      </c>
      <c r="AH36" s="193">
        <f>(VLOOKUP($F36,'ER Target'!$C$3:$D$10,2,FALSE))*'Program Activity-Rev'!X36*'ER Target'!$D$12</f>
        <v>0</v>
      </c>
      <c r="AI36" s="193">
        <f>(VLOOKUP($F36,'ER Target'!$C$3:$D$10,2,FALSE))*'Program Activity-Rev'!Y36*'ER Target'!$D$12</f>
        <v>3.1570185664893495E-2</v>
      </c>
      <c r="AJ36" s="193">
        <f>(VLOOKUP($F36,'ER Target'!$C$3:$D$10,2,FALSE))*'Program Activity-Rev'!Z36*'ER Target'!$D$12</f>
        <v>2.8356078325370543E-2</v>
      </c>
      <c r="AK36" s="193">
        <f>(VLOOKUP($F36,'ER Target'!$C$3:$D$10,2,FALSE))*'Program Activity-Rev'!AA36*'ER Target'!$D$12</f>
        <v>2.7557434474794109E-2</v>
      </c>
      <c r="AL36" s="195">
        <f t="shared" si="1"/>
        <v>1994.2330650145973</v>
      </c>
      <c r="AM36" s="195">
        <f t="shared" si="3"/>
        <v>731.28852805376141</v>
      </c>
      <c r="AN36" s="195">
        <f t="shared" si="4"/>
        <v>208.61109682876236</v>
      </c>
      <c r="AO36" s="195">
        <f t="shared" si="5"/>
        <v>14.999872621395992</v>
      </c>
      <c r="AP36" s="195">
        <f t="shared" si="6"/>
        <v>6.2105711284945579</v>
      </c>
      <c r="AQ36" s="195">
        <f t="shared" si="7"/>
        <v>124.00768929170165</v>
      </c>
      <c r="AR36" s="195">
        <f t="shared" si="8"/>
        <v>0</v>
      </c>
      <c r="AS36" s="195">
        <f t="shared" si="9"/>
        <v>0.15785092832446748</v>
      </c>
      <c r="AT36" s="195">
        <f t="shared" si="10"/>
        <v>50.643955889111787</v>
      </c>
      <c r="AU36" s="195">
        <f t="shared" si="11"/>
        <v>14.550325402691289</v>
      </c>
      <c r="AV36" s="197">
        <f>HLOOKUP(AV$2,'Baseline FRL'!$B$23:$O$28,6,FALSE)*'Program Activity-Rev'!AL36</f>
        <v>742012.67884387868</v>
      </c>
      <c r="AW36" s="197">
        <f>HLOOKUP(AW$2,'Baseline FRL'!$B$23:$O$28,6,FALSE)*'Program Activity-Rev'!AM36</f>
        <v>27582.709831978009</v>
      </c>
      <c r="AX36" s="197">
        <f>HLOOKUP(AX$2,'Baseline FRL'!$B$23:$O$28,6,FALSE)*'Program Activity-Rev'!AN36</f>
        <v>106185.80753980747</v>
      </c>
      <c r="AY36" s="197">
        <f>HLOOKUP(AY$2,'Baseline FRL'!$B$23:$O$28,6,FALSE)*'Program Activity-Rev'!AO36</f>
        <v>754.91358928961756</v>
      </c>
      <c r="AZ36" s="197">
        <f>HLOOKUP(AZ$2,'Baseline FRL'!$B$23:$O$28,6,FALSE)*'Program Activity-Rev'!AP36</f>
        <v>303.07587107053439</v>
      </c>
      <c r="BA36" s="197">
        <f>HLOOKUP(BA$2,'Baseline FRL'!$B$23:$O$28,6,FALSE)*'Program Activity-Rev'!AQ36</f>
        <v>25780.21361395203</v>
      </c>
      <c r="BB36" s="197">
        <f>HLOOKUP(BB$2,'Baseline FRL'!$B$23:$O$28,6,FALSE)*'Program Activity-Rev'!AR36</f>
        <v>0</v>
      </c>
      <c r="BC36" s="197">
        <f>HLOOKUP(BC$2,'Baseline FRL'!$B$23:$O$28,6,FALSE)*'Program Activity-Rev'!AS36</f>
        <v>6.535028432632954</v>
      </c>
      <c r="BD36" s="197">
        <f>HLOOKUP(BD$2,'Baseline FRL'!$B$23:$O$28,6,FALSE)*'Program Activity-Rev'!AT36</f>
        <v>18141.027957282407</v>
      </c>
      <c r="BE36" s="197">
        <f>HLOOKUP(BE$2,'Baseline FRL'!$B$23:$O$28,6,FALSE)*'Program Activity-Rev'!AU36</f>
        <v>608.19257885870593</v>
      </c>
      <c r="BF36" s="198">
        <f t="shared" si="2"/>
        <v>921375.15485455003</v>
      </c>
    </row>
    <row r="37" spans="1:58" x14ac:dyDescent="0.3">
      <c r="A37" s="92" t="s">
        <v>431</v>
      </c>
      <c r="B37" s="93" t="s">
        <v>432</v>
      </c>
      <c r="C37" s="228" t="s">
        <v>438</v>
      </c>
      <c r="D37" s="229" t="s">
        <v>441</v>
      </c>
      <c r="E37" s="229" t="s">
        <v>442</v>
      </c>
      <c r="F37" s="93" t="s">
        <v>44</v>
      </c>
      <c r="G37" s="93" t="s">
        <v>251</v>
      </c>
      <c r="H37" s="189">
        <f>HLOOKUP(H$2,'Baseline FRL'!$B$23:$O$28,5,FALSE)</f>
        <v>66475</v>
      </c>
      <c r="I37" s="189">
        <f>HLOOKUP(I$2,'Baseline FRL'!$B$23:$O$28,5,FALSE)</f>
        <v>25443</v>
      </c>
      <c r="J37" s="189">
        <f>HLOOKUP(J$2,'Baseline FRL'!$B$23:$O$28,5,FALSE)</f>
        <v>7258</v>
      </c>
      <c r="K37" s="189">
        <f>HLOOKUP(K$2,'Baseline FRL'!$B$23:$O$28,5,FALSE)</f>
        <v>500</v>
      </c>
      <c r="L37" s="189">
        <f>HLOOKUP(L$2,'Baseline FRL'!$B$23:$O$28,5,FALSE)</f>
        <v>215</v>
      </c>
      <c r="M37" s="189">
        <f>HLOOKUP(M$2,'Baseline FRL'!$B$23:$O$28,5,FALSE)</f>
        <v>3928</v>
      </c>
      <c r="N37" s="189">
        <f>HLOOKUP(N$2,'Baseline FRL'!$B$23:$O$28,5,FALSE)</f>
        <v>508</v>
      </c>
      <c r="O37" s="189">
        <f>HLOOKUP(O$2,'Baseline FRL'!$B$23:$O$28,5,FALSE)</f>
        <v>5</v>
      </c>
      <c r="P37" s="189">
        <f>HLOOKUP(P$2,'Baseline FRL'!$B$23:$O$28,5,FALSE)</f>
        <v>1786</v>
      </c>
      <c r="Q37" s="189">
        <f>HLOOKUP(Q$2,'Baseline FRL'!$B$23:$O$28,5,FALSE)</f>
        <v>528</v>
      </c>
      <c r="R37" s="191">
        <f>HLOOKUP(R$3,'Implementing Areas'!$B$53:$K$64,8,FALSE)</f>
        <v>0.69570923014441111</v>
      </c>
      <c r="S37" s="191">
        <f>HLOOKUP(S$3,'Implementing Areas'!$B$53:$K$64,8,FALSE)</f>
        <v>0.55195016569647226</v>
      </c>
      <c r="T37" s="191">
        <f>HLOOKUP(T$3,'Implementing Areas'!$B$53:$K$64,8,FALSE)</f>
        <v>0.55195016569647226</v>
      </c>
      <c r="U37" s="191">
        <f>HLOOKUP(U$3,'Implementing Areas'!$B$53:$K$64,8,FALSE)</f>
        <v>0.69570923014441111</v>
      </c>
      <c r="V37" s="191">
        <f>HLOOKUP(V$3,'Implementing Areas'!$B$53:$K$64,8,FALSE)</f>
        <v>0.63961834455866451</v>
      </c>
      <c r="W37" s="191">
        <f>HLOOKUP(W$3,'Implementing Areas'!$B$53:$K$64,8,FALSE)</f>
        <v>0.85291267082773314</v>
      </c>
      <c r="X37" s="191">
        <f>HLOOKUP(X$3,'Implementing Areas'!$B$53:$K$64,8,FALSE)</f>
        <v>0</v>
      </c>
      <c r="Y37" s="191">
        <f>HLOOKUP(Y$3,'Implementing Areas'!$B$53:$K$64,8,FALSE)</f>
        <v>0.85291267082773314</v>
      </c>
      <c r="Z37" s="191">
        <f>HLOOKUP(Z$3,'Implementing Areas'!$B$53:$K$64,8,FALSE)</f>
        <v>0.19276739080959265</v>
      </c>
      <c r="AA37" s="191">
        <f>HLOOKUP(AA$3,'Implementing Areas'!$B$53:$K$64,8,FALSE)</f>
        <v>0.23775707599687529</v>
      </c>
      <c r="AB37" s="193">
        <f>(VLOOKUP($F37,'ER Target'!$C$3:$D$10,2,FALSE))*'Program Activity-Rev'!R37*'ER Target'!$D$12</f>
        <v>2.4349823055054391E-2</v>
      </c>
      <c r="AC37" s="193">
        <f>(VLOOKUP($F37,'ER Target'!$C$3:$D$10,2,FALSE))*'Program Activity-Rev'!S37*'ER Target'!$D$12</f>
        <v>1.931825579937653E-2</v>
      </c>
      <c r="AD37" s="193">
        <f>(VLOOKUP($F37,'ER Target'!$C$3:$D$10,2,FALSE))*'Program Activity-Rev'!T37*'ER Target'!$D$12</f>
        <v>1.931825579937653E-2</v>
      </c>
      <c r="AE37" s="193">
        <f>(VLOOKUP($F37,'ER Target'!$C$3:$D$10,2,FALSE))*'Program Activity-Rev'!U37*'ER Target'!$D$12</f>
        <v>2.4349823055054391E-2</v>
      </c>
      <c r="AF37" s="193">
        <f>(VLOOKUP($F37,'ER Target'!$C$3:$D$10,2,FALSE))*'Program Activity-Rev'!V37*'ER Target'!$D$12</f>
        <v>2.238664205955326E-2</v>
      </c>
      <c r="AG37" s="193">
        <f>(VLOOKUP($F37,'ER Target'!$C$3:$D$10,2,FALSE))*'Program Activity-Rev'!W37*'ER Target'!$D$12</f>
        <v>2.9851943478970664E-2</v>
      </c>
      <c r="AH37" s="193">
        <f>(VLOOKUP($F37,'ER Target'!$C$3:$D$10,2,FALSE))*'Program Activity-Rev'!X37*'ER Target'!$D$12</f>
        <v>0</v>
      </c>
      <c r="AI37" s="193">
        <f>(VLOOKUP($F37,'ER Target'!$C$3:$D$10,2,FALSE))*'Program Activity-Rev'!Y37*'ER Target'!$D$12</f>
        <v>2.9851943478970664E-2</v>
      </c>
      <c r="AJ37" s="193">
        <f>(VLOOKUP($F37,'ER Target'!$C$3:$D$10,2,FALSE))*'Program Activity-Rev'!Z37*'ER Target'!$D$12</f>
        <v>6.7468586783357432E-3</v>
      </c>
      <c r="AK37" s="193">
        <f>(VLOOKUP($F37,'ER Target'!$C$3:$D$10,2,FALSE))*'Program Activity-Rev'!AA37*'ER Target'!$D$12</f>
        <v>8.3214976598906358E-3</v>
      </c>
      <c r="AL37" s="195">
        <f t="shared" si="1"/>
        <v>1618.6544875847408</v>
      </c>
      <c r="AM37" s="195">
        <f t="shared" si="3"/>
        <v>491.51438230353705</v>
      </c>
      <c r="AN37" s="195">
        <f t="shared" si="4"/>
        <v>140.21190059187487</v>
      </c>
      <c r="AO37" s="195">
        <f t="shared" si="5"/>
        <v>12.174911527527195</v>
      </c>
      <c r="AP37" s="195">
        <f t="shared" si="6"/>
        <v>4.8131280428039505</v>
      </c>
      <c r="AQ37" s="195">
        <f t="shared" si="7"/>
        <v>117.25843398539676</v>
      </c>
      <c r="AR37" s="195">
        <f t="shared" si="8"/>
        <v>0</v>
      </c>
      <c r="AS37" s="195">
        <f t="shared" si="9"/>
        <v>0.14925971739485333</v>
      </c>
      <c r="AT37" s="195">
        <f t="shared" si="10"/>
        <v>12.049889599507637</v>
      </c>
      <c r="AU37" s="195">
        <f t="shared" si="11"/>
        <v>4.393750764422256</v>
      </c>
      <c r="AV37" s="197">
        <f>HLOOKUP(AV$2,'Baseline FRL'!$B$23:$O$28,6,FALSE)*'Program Activity-Rev'!AL37</f>
        <v>602267.69554973149</v>
      </c>
      <c r="AW37" s="197">
        <f>HLOOKUP(AW$2,'Baseline FRL'!$B$23:$O$28,6,FALSE)*'Program Activity-Rev'!AM37</f>
        <v>18538.918723918079</v>
      </c>
      <c r="AX37" s="197">
        <f>HLOOKUP(AX$2,'Baseline FRL'!$B$23:$O$28,6,FALSE)*'Program Activity-Rev'!AN37</f>
        <v>71369.711953821054</v>
      </c>
      <c r="AY37" s="197">
        <f>HLOOKUP(AY$2,'Baseline FRL'!$B$23:$O$28,6,FALSE)*'Program Activity-Rev'!AO37</f>
        <v>612.73894735738872</v>
      </c>
      <c r="AZ37" s="197">
        <f>HLOOKUP(AZ$2,'Baseline FRL'!$B$23:$O$28,6,FALSE)*'Program Activity-Rev'!AP37</f>
        <v>234.88064848883278</v>
      </c>
      <c r="BA37" s="197">
        <f>HLOOKUP(BA$2,'Baseline FRL'!$B$23:$O$28,6,FALSE)*'Program Activity-Rev'!AQ37</f>
        <v>24377.097044927443</v>
      </c>
      <c r="BB37" s="197">
        <f>HLOOKUP(BB$2,'Baseline FRL'!$B$23:$O$28,6,FALSE)*'Program Activity-Rev'!AR37</f>
        <v>0</v>
      </c>
      <c r="BC37" s="197">
        <f>HLOOKUP(BC$2,'Baseline FRL'!$B$23:$O$28,6,FALSE)*'Program Activity-Rev'!AS37</f>
        <v>6.1793523001469275</v>
      </c>
      <c r="BD37" s="197">
        <f>HLOOKUP(BD$2,'Baseline FRL'!$B$23:$O$28,6,FALSE)*'Program Activity-Rev'!AT37</f>
        <v>4316.3568143347184</v>
      </c>
      <c r="BE37" s="197">
        <f>HLOOKUP(BE$2,'Baseline FRL'!$B$23:$O$28,6,FALSE)*'Program Activity-Rev'!AU37</f>
        <v>183.65545335378633</v>
      </c>
      <c r="BF37" s="198">
        <f t="shared" si="2"/>
        <v>721907.23448823288</v>
      </c>
    </row>
    <row r="38" spans="1:58" x14ac:dyDescent="0.3">
      <c r="A38" s="92" t="s">
        <v>431</v>
      </c>
      <c r="B38" s="93" t="s">
        <v>432</v>
      </c>
      <c r="C38" s="228" t="s">
        <v>438</v>
      </c>
      <c r="D38" s="229" t="s">
        <v>443</v>
      </c>
      <c r="E38" s="229" t="s">
        <v>444</v>
      </c>
      <c r="F38" s="93" t="s">
        <v>44</v>
      </c>
      <c r="G38" s="93" t="s">
        <v>251</v>
      </c>
      <c r="H38" s="189">
        <f>HLOOKUP(H$2,'Baseline FRL'!$B$23:$O$28,5,FALSE)</f>
        <v>66475</v>
      </c>
      <c r="I38" s="189">
        <f>HLOOKUP(I$2,'Baseline FRL'!$B$23:$O$28,5,FALSE)</f>
        <v>25443</v>
      </c>
      <c r="J38" s="189">
        <f>HLOOKUP(J$2,'Baseline FRL'!$B$23:$O$28,5,FALSE)</f>
        <v>7258</v>
      </c>
      <c r="K38" s="189">
        <f>HLOOKUP(K$2,'Baseline FRL'!$B$23:$O$28,5,FALSE)</f>
        <v>500</v>
      </c>
      <c r="L38" s="189">
        <f>HLOOKUP(L$2,'Baseline FRL'!$B$23:$O$28,5,FALSE)</f>
        <v>215</v>
      </c>
      <c r="M38" s="189">
        <f>HLOOKUP(M$2,'Baseline FRL'!$B$23:$O$28,5,FALSE)</f>
        <v>3928</v>
      </c>
      <c r="N38" s="189">
        <f>HLOOKUP(N$2,'Baseline FRL'!$B$23:$O$28,5,FALSE)</f>
        <v>508</v>
      </c>
      <c r="O38" s="189">
        <f>HLOOKUP(O$2,'Baseline FRL'!$B$23:$O$28,5,FALSE)</f>
        <v>5</v>
      </c>
      <c r="P38" s="189">
        <f>HLOOKUP(P$2,'Baseline FRL'!$B$23:$O$28,5,FALSE)</f>
        <v>1786</v>
      </c>
      <c r="Q38" s="189">
        <f>HLOOKUP(Q$2,'Baseline FRL'!$B$23:$O$28,5,FALSE)</f>
        <v>528</v>
      </c>
      <c r="R38" s="191">
        <f>HLOOKUP(R$3,'Implementing Areas'!$B$53:$K$64,8,FALSE)</f>
        <v>0.69570923014441111</v>
      </c>
      <c r="S38" s="191">
        <f>HLOOKUP(S$3,'Implementing Areas'!$B$53:$K$64,8,FALSE)</f>
        <v>0.55195016569647226</v>
      </c>
      <c r="T38" s="191">
        <f>HLOOKUP(T$3,'Implementing Areas'!$B$53:$K$64,8,FALSE)</f>
        <v>0.55195016569647226</v>
      </c>
      <c r="U38" s="191">
        <f>HLOOKUP(U$3,'Implementing Areas'!$B$53:$K$64,8,FALSE)</f>
        <v>0.69570923014441111</v>
      </c>
      <c r="V38" s="191">
        <f>HLOOKUP(V$3,'Implementing Areas'!$B$53:$K$64,8,FALSE)</f>
        <v>0.63961834455866451</v>
      </c>
      <c r="W38" s="191">
        <f>HLOOKUP(W$3,'Implementing Areas'!$B$53:$K$64,8,FALSE)</f>
        <v>0.85291267082773314</v>
      </c>
      <c r="X38" s="191">
        <f>HLOOKUP(X$3,'Implementing Areas'!$B$53:$K$64,8,FALSE)</f>
        <v>0</v>
      </c>
      <c r="Y38" s="191">
        <f>HLOOKUP(Y$3,'Implementing Areas'!$B$53:$K$64,8,FALSE)</f>
        <v>0.85291267082773314</v>
      </c>
      <c r="Z38" s="191">
        <f>HLOOKUP(Z$3,'Implementing Areas'!$B$53:$K$64,8,FALSE)</f>
        <v>0.19276739080959265</v>
      </c>
      <c r="AA38" s="191">
        <f>HLOOKUP(AA$3,'Implementing Areas'!$B$53:$K$64,8,FALSE)</f>
        <v>0.23775707599687529</v>
      </c>
      <c r="AB38" s="193">
        <f>(VLOOKUP($F38,'ER Target'!$C$3:$D$10,2,FALSE))*'Program Activity-Rev'!R38*'ER Target'!$D$12</f>
        <v>2.4349823055054391E-2</v>
      </c>
      <c r="AC38" s="193">
        <f>(VLOOKUP($F38,'ER Target'!$C$3:$D$10,2,FALSE))*'Program Activity-Rev'!S38*'ER Target'!$D$12</f>
        <v>1.931825579937653E-2</v>
      </c>
      <c r="AD38" s="193">
        <f>(VLOOKUP($F38,'ER Target'!$C$3:$D$10,2,FALSE))*'Program Activity-Rev'!T38*'ER Target'!$D$12</f>
        <v>1.931825579937653E-2</v>
      </c>
      <c r="AE38" s="193">
        <f>(VLOOKUP($F38,'ER Target'!$C$3:$D$10,2,FALSE))*'Program Activity-Rev'!U38*'ER Target'!$D$12</f>
        <v>2.4349823055054391E-2</v>
      </c>
      <c r="AF38" s="193">
        <f>(VLOOKUP($F38,'ER Target'!$C$3:$D$10,2,FALSE))*'Program Activity-Rev'!V38*'ER Target'!$D$12</f>
        <v>2.238664205955326E-2</v>
      </c>
      <c r="AG38" s="193">
        <f>(VLOOKUP($F38,'ER Target'!$C$3:$D$10,2,FALSE))*'Program Activity-Rev'!W38*'ER Target'!$D$12</f>
        <v>2.9851943478970664E-2</v>
      </c>
      <c r="AH38" s="193">
        <f>(VLOOKUP($F38,'ER Target'!$C$3:$D$10,2,FALSE))*'Program Activity-Rev'!X38*'ER Target'!$D$12</f>
        <v>0</v>
      </c>
      <c r="AI38" s="193">
        <f>(VLOOKUP($F38,'ER Target'!$C$3:$D$10,2,FALSE))*'Program Activity-Rev'!Y38*'ER Target'!$D$12</f>
        <v>2.9851943478970664E-2</v>
      </c>
      <c r="AJ38" s="193">
        <f>(VLOOKUP($F38,'ER Target'!$C$3:$D$10,2,FALSE))*'Program Activity-Rev'!Z38*'ER Target'!$D$12</f>
        <v>6.7468586783357432E-3</v>
      </c>
      <c r="AK38" s="193">
        <f>(VLOOKUP($F38,'ER Target'!$C$3:$D$10,2,FALSE))*'Program Activity-Rev'!AA38*'ER Target'!$D$12</f>
        <v>8.3214976598906358E-3</v>
      </c>
      <c r="AL38" s="195">
        <f t="shared" si="1"/>
        <v>1618.6544875847408</v>
      </c>
      <c r="AM38" s="195">
        <f t="shared" si="3"/>
        <v>491.51438230353705</v>
      </c>
      <c r="AN38" s="195">
        <f t="shared" si="4"/>
        <v>140.21190059187487</v>
      </c>
      <c r="AO38" s="195">
        <f t="shared" si="5"/>
        <v>12.174911527527195</v>
      </c>
      <c r="AP38" s="195">
        <f t="shared" si="6"/>
        <v>4.8131280428039505</v>
      </c>
      <c r="AQ38" s="195">
        <f t="shared" si="7"/>
        <v>117.25843398539676</v>
      </c>
      <c r="AR38" s="195">
        <f t="shared" si="8"/>
        <v>0</v>
      </c>
      <c r="AS38" s="195">
        <f t="shared" si="9"/>
        <v>0.14925971739485333</v>
      </c>
      <c r="AT38" s="195">
        <f t="shared" si="10"/>
        <v>12.049889599507637</v>
      </c>
      <c r="AU38" s="195">
        <f t="shared" si="11"/>
        <v>4.393750764422256</v>
      </c>
      <c r="AV38" s="197">
        <f>HLOOKUP(AV$2,'Baseline FRL'!$B$23:$O$28,6,FALSE)*'Program Activity-Rev'!AL38</f>
        <v>602267.69554973149</v>
      </c>
      <c r="AW38" s="197">
        <f>HLOOKUP(AW$2,'Baseline FRL'!$B$23:$O$28,6,FALSE)*'Program Activity-Rev'!AM38</f>
        <v>18538.918723918079</v>
      </c>
      <c r="AX38" s="197">
        <f>HLOOKUP(AX$2,'Baseline FRL'!$B$23:$O$28,6,FALSE)*'Program Activity-Rev'!AN38</f>
        <v>71369.711953821054</v>
      </c>
      <c r="AY38" s="197">
        <f>HLOOKUP(AY$2,'Baseline FRL'!$B$23:$O$28,6,FALSE)*'Program Activity-Rev'!AO38</f>
        <v>612.73894735738872</v>
      </c>
      <c r="AZ38" s="197">
        <f>HLOOKUP(AZ$2,'Baseline FRL'!$B$23:$O$28,6,FALSE)*'Program Activity-Rev'!AP38</f>
        <v>234.88064848883278</v>
      </c>
      <c r="BA38" s="197">
        <f>HLOOKUP(BA$2,'Baseline FRL'!$B$23:$O$28,6,FALSE)*'Program Activity-Rev'!AQ38</f>
        <v>24377.097044927443</v>
      </c>
      <c r="BB38" s="197">
        <f>HLOOKUP(BB$2,'Baseline FRL'!$B$23:$O$28,6,FALSE)*'Program Activity-Rev'!AR38</f>
        <v>0</v>
      </c>
      <c r="BC38" s="197">
        <f>HLOOKUP(BC$2,'Baseline FRL'!$B$23:$O$28,6,FALSE)*'Program Activity-Rev'!AS38</f>
        <v>6.1793523001469275</v>
      </c>
      <c r="BD38" s="197">
        <f>HLOOKUP(BD$2,'Baseline FRL'!$B$23:$O$28,6,FALSE)*'Program Activity-Rev'!AT38</f>
        <v>4316.3568143347184</v>
      </c>
      <c r="BE38" s="197">
        <f>HLOOKUP(BE$2,'Baseline FRL'!$B$23:$O$28,6,FALSE)*'Program Activity-Rev'!AU38</f>
        <v>183.65545335378633</v>
      </c>
      <c r="BF38" s="198">
        <f t="shared" si="2"/>
        <v>721907.23448823288</v>
      </c>
    </row>
    <row r="39" spans="1:58" s="6" customFormat="1" ht="28.8" x14ac:dyDescent="0.3">
      <c r="A39" s="92" t="s">
        <v>431</v>
      </c>
      <c r="B39" s="89" t="s">
        <v>432</v>
      </c>
      <c r="C39" s="227" t="s">
        <v>445</v>
      </c>
      <c r="D39" s="227"/>
      <c r="E39" s="227" t="s">
        <v>254</v>
      </c>
      <c r="F39" s="89" t="s">
        <v>44</v>
      </c>
      <c r="G39" s="89" t="s">
        <v>251</v>
      </c>
      <c r="H39" s="189"/>
      <c r="I39" s="189"/>
      <c r="J39" s="189"/>
      <c r="K39" s="189"/>
      <c r="L39" s="189"/>
      <c r="M39" s="189"/>
      <c r="N39" s="189"/>
      <c r="O39" s="189"/>
      <c r="P39" s="189"/>
      <c r="Q39" s="189"/>
      <c r="R39" s="190"/>
      <c r="S39" s="190"/>
      <c r="T39" s="190"/>
      <c r="U39" s="190"/>
      <c r="V39" s="190"/>
      <c r="W39" s="190"/>
      <c r="X39" s="190"/>
      <c r="Y39" s="190"/>
      <c r="Z39" s="190"/>
      <c r="AA39" s="190"/>
      <c r="AB39" s="193"/>
      <c r="AC39" s="193"/>
      <c r="AD39" s="193"/>
      <c r="AE39" s="193"/>
      <c r="AF39" s="193"/>
      <c r="AG39" s="193"/>
      <c r="AH39" s="193"/>
      <c r="AI39" s="193"/>
      <c r="AJ39" s="193"/>
      <c r="AK39" s="193"/>
      <c r="AL39" s="195"/>
      <c r="AM39" s="195"/>
      <c r="AN39" s="195"/>
      <c r="AO39" s="195"/>
      <c r="AP39" s="195"/>
      <c r="AQ39" s="195"/>
      <c r="AR39" s="195"/>
      <c r="AS39" s="195"/>
      <c r="AT39" s="195"/>
      <c r="AU39" s="195"/>
      <c r="AV39" s="197"/>
      <c r="AW39" s="197"/>
      <c r="AX39" s="197"/>
      <c r="AY39" s="197"/>
      <c r="AZ39" s="197"/>
      <c r="BA39" s="197"/>
      <c r="BB39" s="197"/>
      <c r="BC39" s="197"/>
      <c r="BD39" s="197"/>
      <c r="BE39" s="197"/>
      <c r="BF39" s="198"/>
    </row>
    <row r="40" spans="1:58" ht="43.2" x14ac:dyDescent="0.3">
      <c r="A40" s="92" t="s">
        <v>431</v>
      </c>
      <c r="B40" s="93" t="s">
        <v>432</v>
      </c>
      <c r="C40" s="229" t="s">
        <v>445</v>
      </c>
      <c r="D40" s="229" t="s">
        <v>446</v>
      </c>
      <c r="E40" s="229" t="s">
        <v>447</v>
      </c>
      <c r="F40" s="93" t="s">
        <v>44</v>
      </c>
      <c r="G40" s="93" t="s">
        <v>251</v>
      </c>
      <c r="H40" s="189">
        <f>HLOOKUP(H$2,'Baseline FRL'!$B$23:$O$28,5,FALSE)</f>
        <v>66475</v>
      </c>
      <c r="I40" s="189">
        <f>HLOOKUP(I$2,'Baseline FRL'!$B$23:$O$28,5,FALSE)</f>
        <v>25443</v>
      </c>
      <c r="J40" s="189">
        <f>HLOOKUP(J$2,'Baseline FRL'!$B$23:$O$28,5,FALSE)</f>
        <v>7258</v>
      </c>
      <c r="K40" s="189">
        <f>HLOOKUP(K$2,'Baseline FRL'!$B$23:$O$28,5,FALSE)</f>
        <v>500</v>
      </c>
      <c r="L40" s="189">
        <f>HLOOKUP(L$2,'Baseline FRL'!$B$23:$O$28,5,FALSE)</f>
        <v>215</v>
      </c>
      <c r="M40" s="189">
        <f>HLOOKUP(M$2,'Baseline FRL'!$B$23:$O$28,5,FALSE)</f>
        <v>3928</v>
      </c>
      <c r="N40" s="189">
        <f>HLOOKUP(N$2,'Baseline FRL'!$B$23:$O$28,5,FALSE)</f>
        <v>508</v>
      </c>
      <c r="O40" s="189">
        <f>HLOOKUP(O$2,'Baseline FRL'!$B$23:$O$28,5,FALSE)</f>
        <v>5</v>
      </c>
      <c r="P40" s="189">
        <f>HLOOKUP(P$2,'Baseline FRL'!$B$23:$O$28,5,FALSE)</f>
        <v>1786</v>
      </c>
      <c r="Q40" s="189">
        <f>HLOOKUP(Q$2,'Baseline FRL'!$B$23:$O$28,5,FALSE)</f>
        <v>528</v>
      </c>
      <c r="R40" s="191">
        <f>HLOOKUP(R$3,'Implementing Areas'!$B$53:$K$64,8,FALSE)</f>
        <v>0.69570923014441111</v>
      </c>
      <c r="S40" s="191">
        <f>HLOOKUP(S$3,'Implementing Areas'!$B$53:$K$64,8,FALSE)</f>
        <v>0.55195016569647226</v>
      </c>
      <c r="T40" s="191">
        <f>HLOOKUP(T$3,'Implementing Areas'!$B$53:$K$64,8,FALSE)</f>
        <v>0.55195016569647226</v>
      </c>
      <c r="U40" s="191">
        <f>HLOOKUP(U$3,'Implementing Areas'!$B$53:$K$64,8,FALSE)</f>
        <v>0.69570923014441111</v>
      </c>
      <c r="V40" s="191">
        <f>HLOOKUP(V$3,'Implementing Areas'!$B$53:$K$64,8,FALSE)</f>
        <v>0.63961834455866451</v>
      </c>
      <c r="W40" s="191">
        <f>HLOOKUP(W$3,'Implementing Areas'!$B$53:$K$64,8,FALSE)</f>
        <v>0.85291267082773314</v>
      </c>
      <c r="X40" s="191">
        <f>HLOOKUP(X$3,'Implementing Areas'!$B$53:$K$64,8,FALSE)</f>
        <v>0</v>
      </c>
      <c r="Y40" s="191">
        <f>HLOOKUP(Y$3,'Implementing Areas'!$B$53:$K$64,8,FALSE)</f>
        <v>0.85291267082773314</v>
      </c>
      <c r="Z40" s="191">
        <f>HLOOKUP(Z$3,'Implementing Areas'!$B$53:$K$64,8,FALSE)</f>
        <v>0.19276739080959265</v>
      </c>
      <c r="AA40" s="191">
        <f>HLOOKUP(AA$3,'Implementing Areas'!$B$53:$K$64,8,FALSE)</f>
        <v>0.23775707599687529</v>
      </c>
      <c r="AB40" s="193">
        <f>(VLOOKUP($F40,'ER Target'!$C$3:$D$10,2,FALSE))*'Program Activity-Rev'!R40*'ER Target'!$D$12</f>
        <v>2.4349823055054391E-2</v>
      </c>
      <c r="AC40" s="193">
        <f>(VLOOKUP($F40,'ER Target'!$C$3:$D$10,2,FALSE))*'Program Activity-Rev'!S40*'ER Target'!$D$12</f>
        <v>1.931825579937653E-2</v>
      </c>
      <c r="AD40" s="193">
        <f>(VLOOKUP($F40,'ER Target'!$C$3:$D$10,2,FALSE))*'Program Activity-Rev'!T40*'ER Target'!$D$12</f>
        <v>1.931825579937653E-2</v>
      </c>
      <c r="AE40" s="193">
        <f>(VLOOKUP($F40,'ER Target'!$C$3:$D$10,2,FALSE))*'Program Activity-Rev'!U40*'ER Target'!$D$12</f>
        <v>2.4349823055054391E-2</v>
      </c>
      <c r="AF40" s="193">
        <f>(VLOOKUP($F40,'ER Target'!$C$3:$D$10,2,FALSE))*'Program Activity-Rev'!V40*'ER Target'!$D$12</f>
        <v>2.238664205955326E-2</v>
      </c>
      <c r="AG40" s="193">
        <f>(VLOOKUP($F40,'ER Target'!$C$3:$D$10,2,FALSE))*'Program Activity-Rev'!W40*'ER Target'!$D$12</f>
        <v>2.9851943478970664E-2</v>
      </c>
      <c r="AH40" s="193">
        <f>(VLOOKUP($F40,'ER Target'!$C$3:$D$10,2,FALSE))*'Program Activity-Rev'!X40*'ER Target'!$D$12</f>
        <v>0</v>
      </c>
      <c r="AI40" s="193">
        <f>(VLOOKUP($F40,'ER Target'!$C$3:$D$10,2,FALSE))*'Program Activity-Rev'!Y40*'ER Target'!$D$12</f>
        <v>2.9851943478970664E-2</v>
      </c>
      <c r="AJ40" s="193">
        <f>(VLOOKUP($F40,'ER Target'!$C$3:$D$10,2,FALSE))*'Program Activity-Rev'!Z40*'ER Target'!$D$12</f>
        <v>6.7468586783357432E-3</v>
      </c>
      <c r="AK40" s="193">
        <f>(VLOOKUP($F40,'ER Target'!$C$3:$D$10,2,FALSE))*'Program Activity-Rev'!AA40*'ER Target'!$D$12</f>
        <v>8.3214976598906358E-3</v>
      </c>
      <c r="AL40" s="195">
        <f t="shared" si="1"/>
        <v>1618.6544875847408</v>
      </c>
      <c r="AM40" s="195">
        <f t="shared" si="3"/>
        <v>491.51438230353705</v>
      </c>
      <c r="AN40" s="195">
        <f t="shared" si="4"/>
        <v>140.21190059187487</v>
      </c>
      <c r="AO40" s="195">
        <f t="shared" si="5"/>
        <v>12.174911527527195</v>
      </c>
      <c r="AP40" s="195">
        <f t="shared" si="6"/>
        <v>4.8131280428039505</v>
      </c>
      <c r="AQ40" s="195">
        <f t="shared" si="7"/>
        <v>117.25843398539676</v>
      </c>
      <c r="AR40" s="195">
        <f t="shared" si="8"/>
        <v>0</v>
      </c>
      <c r="AS40" s="195">
        <f t="shared" si="9"/>
        <v>0.14925971739485333</v>
      </c>
      <c r="AT40" s="195">
        <f t="shared" si="10"/>
        <v>12.049889599507637</v>
      </c>
      <c r="AU40" s="195">
        <f t="shared" si="11"/>
        <v>4.393750764422256</v>
      </c>
      <c r="AV40" s="197">
        <f>HLOOKUP(AV$2,'Baseline FRL'!$B$23:$O$28,6,FALSE)*'Program Activity-Rev'!AL40</f>
        <v>602267.69554973149</v>
      </c>
      <c r="AW40" s="197">
        <f>HLOOKUP(AW$2,'Baseline FRL'!$B$23:$O$28,6,FALSE)*'Program Activity-Rev'!AM40</f>
        <v>18538.918723918079</v>
      </c>
      <c r="AX40" s="197">
        <f>HLOOKUP(AX$2,'Baseline FRL'!$B$23:$O$28,6,FALSE)*'Program Activity-Rev'!AN40</f>
        <v>71369.711953821054</v>
      </c>
      <c r="AY40" s="197">
        <f>HLOOKUP(AY$2,'Baseline FRL'!$B$23:$O$28,6,FALSE)*'Program Activity-Rev'!AO40</f>
        <v>612.73894735738872</v>
      </c>
      <c r="AZ40" s="197">
        <f>HLOOKUP(AZ$2,'Baseline FRL'!$B$23:$O$28,6,FALSE)*'Program Activity-Rev'!AP40</f>
        <v>234.88064848883278</v>
      </c>
      <c r="BA40" s="197">
        <f>HLOOKUP(BA$2,'Baseline FRL'!$B$23:$O$28,6,FALSE)*'Program Activity-Rev'!AQ40</f>
        <v>24377.097044927443</v>
      </c>
      <c r="BB40" s="197">
        <f>HLOOKUP(BB$2,'Baseline FRL'!$B$23:$O$28,6,FALSE)*'Program Activity-Rev'!AR40</f>
        <v>0</v>
      </c>
      <c r="BC40" s="197">
        <f>HLOOKUP(BC$2,'Baseline FRL'!$B$23:$O$28,6,FALSE)*'Program Activity-Rev'!AS40</f>
        <v>6.1793523001469275</v>
      </c>
      <c r="BD40" s="197">
        <f>HLOOKUP(BD$2,'Baseline FRL'!$B$23:$O$28,6,FALSE)*'Program Activity-Rev'!AT40</f>
        <v>4316.3568143347184</v>
      </c>
      <c r="BE40" s="197">
        <f>HLOOKUP(BE$2,'Baseline FRL'!$B$23:$O$28,6,FALSE)*'Program Activity-Rev'!AU40</f>
        <v>183.65545335378633</v>
      </c>
      <c r="BF40" s="198">
        <f t="shared" si="2"/>
        <v>721907.23448823288</v>
      </c>
    </row>
    <row r="41" spans="1:58" x14ac:dyDescent="0.3">
      <c r="A41" s="230" t="s">
        <v>431</v>
      </c>
      <c r="B41" s="183" t="s">
        <v>432</v>
      </c>
      <c r="C41" s="248" t="s">
        <v>483</v>
      </c>
      <c r="D41" s="248"/>
      <c r="E41" s="248" t="s">
        <v>484</v>
      </c>
      <c r="F41" s="93"/>
      <c r="G41" s="93"/>
      <c r="H41" s="189"/>
      <c r="I41" s="189"/>
      <c r="J41" s="189"/>
      <c r="K41" s="189"/>
      <c r="L41" s="189"/>
      <c r="M41" s="189"/>
      <c r="N41" s="189"/>
      <c r="O41" s="189"/>
      <c r="P41" s="189"/>
      <c r="Q41" s="189"/>
      <c r="R41" s="191"/>
      <c r="S41" s="191"/>
      <c r="T41" s="191"/>
      <c r="U41" s="191"/>
      <c r="V41" s="191"/>
      <c r="W41" s="191"/>
      <c r="X41" s="191"/>
      <c r="Y41" s="191"/>
      <c r="Z41" s="191"/>
      <c r="AA41" s="191"/>
      <c r="AB41" s="193"/>
      <c r="AC41" s="193"/>
      <c r="AD41" s="193"/>
      <c r="AE41" s="193"/>
      <c r="AF41" s="193"/>
      <c r="AG41" s="193"/>
      <c r="AH41" s="193"/>
      <c r="AI41" s="193"/>
      <c r="AJ41" s="193"/>
      <c r="AK41" s="193"/>
      <c r="AL41" s="195"/>
      <c r="AM41" s="195"/>
      <c r="AN41" s="195"/>
      <c r="AO41" s="195"/>
      <c r="AP41" s="195"/>
      <c r="AQ41" s="195"/>
      <c r="AR41" s="195"/>
      <c r="AS41" s="195"/>
      <c r="AT41" s="195"/>
      <c r="AU41" s="195"/>
      <c r="AV41" s="197"/>
      <c r="AW41" s="197"/>
      <c r="AX41" s="197"/>
      <c r="AY41" s="197"/>
      <c r="AZ41" s="197"/>
      <c r="BA41" s="197"/>
      <c r="BB41" s="197"/>
      <c r="BC41" s="197"/>
      <c r="BD41" s="197"/>
      <c r="BE41" s="197"/>
      <c r="BF41" s="198"/>
    </row>
    <row r="42" spans="1:58" x14ac:dyDescent="0.3">
      <c r="A42" s="230" t="s">
        <v>431</v>
      </c>
      <c r="B42" s="183" t="s">
        <v>432</v>
      </c>
      <c r="C42" s="236" t="s">
        <v>483</v>
      </c>
      <c r="D42" s="236" t="s">
        <v>485</v>
      </c>
      <c r="E42" s="249" t="s">
        <v>484</v>
      </c>
      <c r="F42" s="93"/>
      <c r="G42" s="93"/>
      <c r="H42" s="189"/>
      <c r="I42" s="189"/>
      <c r="J42" s="189"/>
      <c r="K42" s="189"/>
      <c r="L42" s="189"/>
      <c r="M42" s="189"/>
      <c r="N42" s="189"/>
      <c r="O42" s="189"/>
      <c r="P42" s="189"/>
      <c r="Q42" s="189"/>
      <c r="R42" s="191"/>
      <c r="S42" s="191"/>
      <c r="T42" s="191"/>
      <c r="U42" s="191"/>
      <c r="V42" s="191"/>
      <c r="W42" s="191"/>
      <c r="X42" s="191"/>
      <c r="Y42" s="191"/>
      <c r="Z42" s="191"/>
      <c r="AA42" s="191"/>
      <c r="AB42" s="193"/>
      <c r="AC42" s="193"/>
      <c r="AD42" s="193"/>
      <c r="AE42" s="193"/>
      <c r="AF42" s="193"/>
      <c r="AG42" s="193"/>
      <c r="AH42" s="193"/>
      <c r="AI42" s="193"/>
      <c r="AJ42" s="193"/>
      <c r="AK42" s="193"/>
      <c r="AL42" s="195"/>
      <c r="AM42" s="195"/>
      <c r="AN42" s="195"/>
      <c r="AO42" s="195"/>
      <c r="AP42" s="195"/>
      <c r="AQ42" s="195"/>
      <c r="AR42" s="195"/>
      <c r="AS42" s="195"/>
      <c r="AT42" s="195"/>
      <c r="AU42" s="195"/>
      <c r="AV42" s="197"/>
      <c r="AW42" s="197"/>
      <c r="AX42" s="197"/>
      <c r="AY42" s="197"/>
      <c r="AZ42" s="197"/>
      <c r="BA42" s="197"/>
      <c r="BB42" s="197"/>
      <c r="BC42" s="197"/>
      <c r="BD42" s="197"/>
      <c r="BE42" s="197"/>
      <c r="BF42" s="198"/>
    </row>
    <row r="43" spans="1:58" x14ac:dyDescent="0.3">
      <c r="A43" s="230" t="s">
        <v>431</v>
      </c>
      <c r="B43" s="183" t="s">
        <v>432</v>
      </c>
      <c r="C43" s="250" t="s">
        <v>486</v>
      </c>
      <c r="D43" s="250"/>
      <c r="E43" s="250" t="s">
        <v>487</v>
      </c>
      <c r="F43" s="93"/>
      <c r="G43" s="93"/>
      <c r="H43" s="189"/>
      <c r="I43" s="189"/>
      <c r="J43" s="189"/>
      <c r="K43" s="189"/>
      <c r="L43" s="189"/>
      <c r="M43" s="189"/>
      <c r="N43" s="189"/>
      <c r="O43" s="189"/>
      <c r="P43" s="189"/>
      <c r="Q43" s="189"/>
      <c r="R43" s="191"/>
      <c r="S43" s="191"/>
      <c r="T43" s="191"/>
      <c r="U43" s="191"/>
      <c r="V43" s="191"/>
      <c r="W43" s="191"/>
      <c r="X43" s="191"/>
      <c r="Y43" s="191"/>
      <c r="Z43" s="191"/>
      <c r="AA43" s="191"/>
      <c r="AB43" s="193"/>
      <c r="AC43" s="193"/>
      <c r="AD43" s="193"/>
      <c r="AE43" s="193"/>
      <c r="AF43" s="193"/>
      <c r="AG43" s="193"/>
      <c r="AH43" s="193"/>
      <c r="AI43" s="193"/>
      <c r="AJ43" s="193"/>
      <c r="AK43" s="193"/>
      <c r="AL43" s="195"/>
      <c r="AM43" s="195"/>
      <c r="AN43" s="195"/>
      <c r="AO43" s="195"/>
      <c r="AP43" s="195"/>
      <c r="AQ43" s="195"/>
      <c r="AR43" s="195"/>
      <c r="AS43" s="195"/>
      <c r="AT43" s="195"/>
      <c r="AU43" s="195"/>
      <c r="AV43" s="197"/>
      <c r="AW43" s="197"/>
      <c r="AX43" s="197"/>
      <c r="AY43" s="197"/>
      <c r="AZ43" s="197"/>
      <c r="BA43" s="197"/>
      <c r="BB43" s="197"/>
      <c r="BC43" s="197"/>
      <c r="BD43" s="197"/>
      <c r="BE43" s="197"/>
      <c r="BF43" s="198"/>
    </row>
    <row r="44" spans="1:58" x14ac:dyDescent="0.3">
      <c r="A44" s="230" t="s">
        <v>431</v>
      </c>
      <c r="B44" s="183" t="s">
        <v>432</v>
      </c>
      <c r="C44" s="236" t="s">
        <v>486</v>
      </c>
      <c r="D44" s="236" t="s">
        <v>488</v>
      </c>
      <c r="E44" s="236" t="s">
        <v>489</v>
      </c>
      <c r="F44" s="93"/>
      <c r="G44" s="93"/>
      <c r="H44" s="189"/>
      <c r="I44" s="189"/>
      <c r="J44" s="189"/>
      <c r="K44" s="189"/>
      <c r="L44" s="189"/>
      <c r="M44" s="189"/>
      <c r="N44" s="189"/>
      <c r="O44" s="189"/>
      <c r="P44" s="189"/>
      <c r="Q44" s="189"/>
      <c r="R44" s="191"/>
      <c r="S44" s="191"/>
      <c r="T44" s="191"/>
      <c r="U44" s="191"/>
      <c r="V44" s="191"/>
      <c r="W44" s="191"/>
      <c r="X44" s="191"/>
      <c r="Y44" s="191"/>
      <c r="Z44" s="191"/>
      <c r="AA44" s="191"/>
      <c r="AB44" s="193"/>
      <c r="AC44" s="193"/>
      <c r="AD44" s="193"/>
      <c r="AE44" s="193"/>
      <c r="AF44" s="193"/>
      <c r="AG44" s="193"/>
      <c r="AH44" s="193"/>
      <c r="AI44" s="193"/>
      <c r="AJ44" s="193"/>
      <c r="AK44" s="193"/>
      <c r="AL44" s="195"/>
      <c r="AM44" s="195"/>
      <c r="AN44" s="195"/>
      <c r="AO44" s="195"/>
      <c r="AP44" s="195"/>
      <c r="AQ44" s="195"/>
      <c r="AR44" s="195"/>
      <c r="AS44" s="195"/>
      <c r="AT44" s="195"/>
      <c r="AU44" s="195"/>
      <c r="AV44" s="197"/>
      <c r="AW44" s="197"/>
      <c r="AX44" s="197"/>
      <c r="AY44" s="197"/>
      <c r="AZ44" s="197"/>
      <c r="BA44" s="197"/>
      <c r="BB44" s="197"/>
      <c r="BC44" s="197"/>
      <c r="BD44" s="197"/>
      <c r="BE44" s="197"/>
      <c r="BF44" s="198"/>
    </row>
    <row r="45" spans="1:58" x14ac:dyDescent="0.3">
      <c r="A45" s="230" t="s">
        <v>431</v>
      </c>
      <c r="B45" s="183" t="s">
        <v>432</v>
      </c>
      <c r="C45" s="236" t="s">
        <v>486</v>
      </c>
      <c r="D45" s="236" t="s">
        <v>490</v>
      </c>
      <c r="E45" s="236" t="s">
        <v>491</v>
      </c>
      <c r="F45" s="93"/>
      <c r="G45" s="93"/>
      <c r="H45" s="189"/>
      <c r="I45" s="189"/>
      <c r="J45" s="189"/>
      <c r="K45" s="189"/>
      <c r="L45" s="189"/>
      <c r="M45" s="189"/>
      <c r="N45" s="189"/>
      <c r="O45" s="189"/>
      <c r="P45" s="189"/>
      <c r="Q45" s="189"/>
      <c r="R45" s="191"/>
      <c r="S45" s="191"/>
      <c r="T45" s="191"/>
      <c r="U45" s="191"/>
      <c r="V45" s="191"/>
      <c r="W45" s="191"/>
      <c r="X45" s="191"/>
      <c r="Y45" s="191"/>
      <c r="Z45" s="191"/>
      <c r="AA45" s="191"/>
      <c r="AB45" s="193"/>
      <c r="AC45" s="193"/>
      <c r="AD45" s="193"/>
      <c r="AE45" s="193"/>
      <c r="AF45" s="193"/>
      <c r="AG45" s="193"/>
      <c r="AH45" s="193"/>
      <c r="AI45" s="193"/>
      <c r="AJ45" s="193"/>
      <c r="AK45" s="193"/>
      <c r="AL45" s="195"/>
      <c r="AM45" s="195"/>
      <c r="AN45" s="195"/>
      <c r="AO45" s="195"/>
      <c r="AP45" s="195"/>
      <c r="AQ45" s="195"/>
      <c r="AR45" s="195"/>
      <c r="AS45" s="195"/>
      <c r="AT45" s="195"/>
      <c r="AU45" s="195"/>
      <c r="AV45" s="197"/>
      <c r="AW45" s="197"/>
      <c r="AX45" s="197"/>
      <c r="AY45" s="197"/>
      <c r="AZ45" s="197"/>
      <c r="BA45" s="197"/>
      <c r="BB45" s="197"/>
      <c r="BC45" s="197"/>
      <c r="BD45" s="197"/>
      <c r="BE45" s="197"/>
      <c r="BF45" s="198"/>
    </row>
    <row r="46" spans="1:58" x14ac:dyDescent="0.3">
      <c r="A46" s="230" t="s">
        <v>431</v>
      </c>
      <c r="B46" s="183" t="s">
        <v>432</v>
      </c>
      <c r="C46" s="236" t="s">
        <v>486</v>
      </c>
      <c r="D46" s="236" t="s">
        <v>492</v>
      </c>
      <c r="E46" s="236" t="s">
        <v>493</v>
      </c>
      <c r="F46" s="93"/>
      <c r="G46" s="93"/>
      <c r="H46" s="189"/>
      <c r="I46" s="189"/>
      <c r="J46" s="189"/>
      <c r="K46" s="189"/>
      <c r="L46" s="189"/>
      <c r="M46" s="189"/>
      <c r="N46" s="189"/>
      <c r="O46" s="189"/>
      <c r="P46" s="189"/>
      <c r="Q46" s="189"/>
      <c r="R46" s="191"/>
      <c r="S46" s="191"/>
      <c r="T46" s="191"/>
      <c r="U46" s="191"/>
      <c r="V46" s="191"/>
      <c r="W46" s="191"/>
      <c r="X46" s="191"/>
      <c r="Y46" s="191"/>
      <c r="Z46" s="191"/>
      <c r="AA46" s="191"/>
      <c r="AB46" s="193"/>
      <c r="AC46" s="193"/>
      <c r="AD46" s="193"/>
      <c r="AE46" s="193"/>
      <c r="AF46" s="193"/>
      <c r="AG46" s="193"/>
      <c r="AH46" s="193"/>
      <c r="AI46" s="193"/>
      <c r="AJ46" s="193"/>
      <c r="AK46" s="193"/>
      <c r="AL46" s="195"/>
      <c r="AM46" s="195"/>
      <c r="AN46" s="195"/>
      <c r="AO46" s="195"/>
      <c r="AP46" s="195"/>
      <c r="AQ46" s="195"/>
      <c r="AR46" s="195"/>
      <c r="AS46" s="195"/>
      <c r="AT46" s="195"/>
      <c r="AU46" s="195"/>
      <c r="AV46" s="197"/>
      <c r="AW46" s="197"/>
      <c r="AX46" s="197"/>
      <c r="AY46" s="197"/>
      <c r="AZ46" s="197"/>
      <c r="BA46" s="197"/>
      <c r="BB46" s="197"/>
      <c r="BC46" s="197"/>
      <c r="BD46" s="197"/>
      <c r="BE46" s="197"/>
      <c r="BF46" s="198"/>
    </row>
    <row r="47" spans="1:58" x14ac:dyDescent="0.3">
      <c r="A47" s="230" t="s">
        <v>431</v>
      </c>
      <c r="B47" s="183" t="s">
        <v>432</v>
      </c>
      <c r="C47" s="236" t="s">
        <v>486</v>
      </c>
      <c r="D47" s="236" t="s">
        <v>494</v>
      </c>
      <c r="E47" s="236" t="s">
        <v>495</v>
      </c>
      <c r="F47" s="93"/>
      <c r="G47" s="93"/>
      <c r="H47" s="189"/>
      <c r="I47" s="189"/>
      <c r="J47" s="189"/>
      <c r="K47" s="189"/>
      <c r="L47" s="189"/>
      <c r="M47" s="189"/>
      <c r="N47" s="189"/>
      <c r="O47" s="189"/>
      <c r="P47" s="189"/>
      <c r="Q47" s="189"/>
      <c r="R47" s="191"/>
      <c r="S47" s="191"/>
      <c r="T47" s="191"/>
      <c r="U47" s="191"/>
      <c r="V47" s="191"/>
      <c r="W47" s="191"/>
      <c r="X47" s="191"/>
      <c r="Y47" s="191"/>
      <c r="Z47" s="191"/>
      <c r="AA47" s="191"/>
      <c r="AB47" s="193"/>
      <c r="AC47" s="193"/>
      <c r="AD47" s="193"/>
      <c r="AE47" s="193"/>
      <c r="AF47" s="193"/>
      <c r="AG47" s="193"/>
      <c r="AH47" s="193"/>
      <c r="AI47" s="193"/>
      <c r="AJ47" s="193"/>
      <c r="AK47" s="193"/>
      <c r="AL47" s="195"/>
      <c r="AM47" s="195"/>
      <c r="AN47" s="195"/>
      <c r="AO47" s="195"/>
      <c r="AP47" s="195"/>
      <c r="AQ47" s="195"/>
      <c r="AR47" s="195"/>
      <c r="AS47" s="195"/>
      <c r="AT47" s="195"/>
      <c r="AU47" s="195"/>
      <c r="AV47" s="197"/>
      <c r="AW47" s="197"/>
      <c r="AX47" s="197"/>
      <c r="AY47" s="197"/>
      <c r="AZ47" s="197"/>
      <c r="BA47" s="197"/>
      <c r="BB47" s="197"/>
      <c r="BC47" s="197"/>
      <c r="BD47" s="197"/>
      <c r="BE47" s="197"/>
      <c r="BF47" s="198"/>
    </row>
    <row r="48" spans="1:58" x14ac:dyDescent="0.3">
      <c r="A48" s="230" t="s">
        <v>431</v>
      </c>
      <c r="B48" s="183" t="s">
        <v>432</v>
      </c>
      <c r="C48" s="236" t="s">
        <v>486</v>
      </c>
      <c r="D48" s="236" t="s">
        <v>496</v>
      </c>
      <c r="E48" s="236" t="s">
        <v>497</v>
      </c>
      <c r="F48" s="93"/>
      <c r="G48" s="93"/>
      <c r="H48" s="189"/>
      <c r="I48" s="189"/>
      <c r="J48" s="189"/>
      <c r="K48" s="189"/>
      <c r="L48" s="189"/>
      <c r="M48" s="189"/>
      <c r="N48" s="189"/>
      <c r="O48" s="189"/>
      <c r="P48" s="189"/>
      <c r="Q48" s="189"/>
      <c r="R48" s="191"/>
      <c r="S48" s="191"/>
      <c r="T48" s="191"/>
      <c r="U48" s="191"/>
      <c r="V48" s="191"/>
      <c r="W48" s="191"/>
      <c r="X48" s="191"/>
      <c r="Y48" s="191"/>
      <c r="Z48" s="191"/>
      <c r="AA48" s="191"/>
      <c r="AB48" s="193"/>
      <c r="AC48" s="193"/>
      <c r="AD48" s="193"/>
      <c r="AE48" s="193"/>
      <c r="AF48" s="193"/>
      <c r="AG48" s="193"/>
      <c r="AH48" s="193"/>
      <c r="AI48" s="193"/>
      <c r="AJ48" s="193"/>
      <c r="AK48" s="193"/>
      <c r="AL48" s="195"/>
      <c r="AM48" s="195"/>
      <c r="AN48" s="195"/>
      <c r="AO48" s="195"/>
      <c r="AP48" s="195"/>
      <c r="AQ48" s="195"/>
      <c r="AR48" s="195"/>
      <c r="AS48" s="195"/>
      <c r="AT48" s="195"/>
      <c r="AU48" s="195"/>
      <c r="AV48" s="197"/>
      <c r="AW48" s="197"/>
      <c r="AX48" s="197"/>
      <c r="AY48" s="197"/>
      <c r="AZ48" s="197"/>
      <c r="BA48" s="197"/>
      <c r="BB48" s="197"/>
      <c r="BC48" s="197"/>
      <c r="BD48" s="197"/>
      <c r="BE48" s="197"/>
      <c r="BF48" s="198"/>
    </row>
    <row r="49" spans="1:58" x14ac:dyDescent="0.3">
      <c r="A49" s="230" t="s">
        <v>431</v>
      </c>
      <c r="B49" s="183" t="s">
        <v>432</v>
      </c>
      <c r="C49" s="236" t="s">
        <v>486</v>
      </c>
      <c r="D49" s="236" t="s">
        <v>498</v>
      </c>
      <c r="E49" s="236" t="s">
        <v>499</v>
      </c>
      <c r="F49" s="93"/>
      <c r="G49" s="93"/>
      <c r="H49" s="189"/>
      <c r="I49" s="189"/>
      <c r="J49" s="189"/>
      <c r="K49" s="189"/>
      <c r="L49" s="189"/>
      <c r="M49" s="189"/>
      <c r="N49" s="189"/>
      <c r="O49" s="189"/>
      <c r="P49" s="189"/>
      <c r="Q49" s="189"/>
      <c r="R49" s="191"/>
      <c r="S49" s="191"/>
      <c r="T49" s="191"/>
      <c r="U49" s="191"/>
      <c r="V49" s="191"/>
      <c r="W49" s="191"/>
      <c r="X49" s="191"/>
      <c r="Y49" s="191"/>
      <c r="Z49" s="191"/>
      <c r="AA49" s="191"/>
      <c r="AB49" s="193"/>
      <c r="AC49" s="193"/>
      <c r="AD49" s="193"/>
      <c r="AE49" s="193"/>
      <c r="AF49" s="193"/>
      <c r="AG49" s="193"/>
      <c r="AH49" s="193"/>
      <c r="AI49" s="193"/>
      <c r="AJ49" s="193"/>
      <c r="AK49" s="193"/>
      <c r="AL49" s="195"/>
      <c r="AM49" s="195"/>
      <c r="AN49" s="195"/>
      <c r="AO49" s="195"/>
      <c r="AP49" s="195"/>
      <c r="AQ49" s="195"/>
      <c r="AR49" s="195"/>
      <c r="AS49" s="195"/>
      <c r="AT49" s="195"/>
      <c r="AU49" s="195"/>
      <c r="AV49" s="197"/>
      <c r="AW49" s="197"/>
      <c r="AX49" s="197"/>
      <c r="AY49" s="197"/>
      <c r="AZ49" s="197"/>
      <c r="BA49" s="197"/>
      <c r="BB49" s="197"/>
      <c r="BC49" s="197"/>
      <c r="BD49" s="197"/>
      <c r="BE49" s="197"/>
      <c r="BF49" s="198"/>
    </row>
    <row r="50" spans="1:58" s="6" customFormat="1" ht="28.8" x14ac:dyDescent="0.3">
      <c r="A50" s="7" t="s">
        <v>480</v>
      </c>
      <c r="B50" s="93" t="s">
        <v>448</v>
      </c>
      <c r="C50" s="232"/>
      <c r="D50" s="232"/>
      <c r="E50" s="232" t="s">
        <v>449</v>
      </c>
      <c r="F50" s="246"/>
      <c r="G50" s="90"/>
      <c r="H50" s="189"/>
      <c r="I50" s="189"/>
      <c r="J50" s="189"/>
      <c r="K50" s="189"/>
      <c r="L50" s="189"/>
      <c r="M50" s="189"/>
      <c r="N50" s="189"/>
      <c r="O50" s="189"/>
      <c r="P50" s="189"/>
      <c r="Q50" s="189"/>
      <c r="R50" s="190"/>
      <c r="S50" s="190"/>
      <c r="T50" s="190"/>
      <c r="U50" s="190"/>
      <c r="V50" s="190"/>
      <c r="W50" s="190"/>
      <c r="X50" s="190"/>
      <c r="Y50" s="190"/>
      <c r="Z50" s="190"/>
      <c r="AA50" s="190"/>
      <c r="AB50" s="193"/>
      <c r="AC50" s="193"/>
      <c r="AD50" s="193"/>
      <c r="AE50" s="193"/>
      <c r="AF50" s="193"/>
      <c r="AG50" s="193"/>
      <c r="AH50" s="193"/>
      <c r="AI50" s="193"/>
      <c r="AJ50" s="193"/>
      <c r="AK50" s="193"/>
      <c r="AL50" s="195"/>
      <c r="AM50" s="195"/>
      <c r="AN50" s="195"/>
      <c r="AO50" s="195"/>
      <c r="AP50" s="195"/>
      <c r="AQ50" s="195"/>
      <c r="AR50" s="195"/>
      <c r="AS50" s="195"/>
      <c r="AT50" s="195"/>
      <c r="AU50" s="195"/>
      <c r="AV50" s="197"/>
      <c r="AW50" s="197"/>
      <c r="AX50" s="197"/>
      <c r="AY50" s="197"/>
      <c r="AZ50" s="197"/>
      <c r="BA50" s="197"/>
      <c r="BB50" s="197"/>
      <c r="BC50" s="197"/>
      <c r="BD50" s="197"/>
      <c r="BE50" s="197"/>
      <c r="BF50" s="198"/>
    </row>
    <row r="51" spans="1:58" s="6" customFormat="1" ht="28.8" x14ac:dyDescent="0.3">
      <c r="A51" s="7" t="s">
        <v>480</v>
      </c>
      <c r="B51" s="93" t="s">
        <v>448</v>
      </c>
      <c r="C51" s="227" t="s">
        <v>450</v>
      </c>
      <c r="D51" s="227"/>
      <c r="E51" s="227" t="s">
        <v>451</v>
      </c>
      <c r="F51" s="89" t="s">
        <v>44</v>
      </c>
      <c r="G51" s="89" t="s">
        <v>255</v>
      </c>
      <c r="H51" s="189"/>
      <c r="I51" s="189"/>
      <c r="J51" s="189"/>
      <c r="K51" s="189"/>
      <c r="L51" s="189"/>
      <c r="M51" s="189"/>
      <c r="N51" s="189"/>
      <c r="O51" s="189"/>
      <c r="P51" s="189"/>
      <c r="Q51" s="189"/>
      <c r="R51" s="190"/>
      <c r="S51" s="190"/>
      <c r="T51" s="190"/>
      <c r="U51" s="190"/>
      <c r="V51" s="190"/>
      <c r="W51" s="190"/>
      <c r="X51" s="190"/>
      <c r="Y51" s="190"/>
      <c r="Z51" s="190"/>
      <c r="AA51" s="190"/>
      <c r="AB51" s="193"/>
      <c r="AC51" s="193"/>
      <c r="AD51" s="193"/>
      <c r="AE51" s="193"/>
      <c r="AF51" s="193"/>
      <c r="AG51" s="193"/>
      <c r="AH51" s="193"/>
      <c r="AI51" s="193"/>
      <c r="AJ51" s="193"/>
      <c r="AK51" s="193"/>
      <c r="AL51" s="195"/>
      <c r="AM51" s="195"/>
      <c r="AN51" s="195"/>
      <c r="AO51" s="195"/>
      <c r="AP51" s="195"/>
      <c r="AQ51" s="195"/>
      <c r="AR51" s="195"/>
      <c r="AS51" s="195"/>
      <c r="AT51" s="195"/>
      <c r="AU51" s="195"/>
      <c r="AV51" s="197"/>
      <c r="AW51" s="197"/>
      <c r="AX51" s="197"/>
      <c r="AY51" s="197"/>
      <c r="AZ51" s="197"/>
      <c r="BA51" s="197"/>
      <c r="BB51" s="197"/>
      <c r="BC51" s="197"/>
      <c r="BD51" s="197"/>
      <c r="BE51" s="197"/>
      <c r="BF51" s="198"/>
    </row>
    <row r="52" spans="1:58" x14ac:dyDescent="0.3">
      <c r="A52" s="7" t="s">
        <v>480</v>
      </c>
      <c r="B52" s="93" t="s">
        <v>448</v>
      </c>
      <c r="C52" s="228" t="s">
        <v>450</v>
      </c>
      <c r="D52" s="229" t="s">
        <v>452</v>
      </c>
      <c r="E52" s="229" t="s">
        <v>138</v>
      </c>
      <c r="F52" s="93" t="s">
        <v>44</v>
      </c>
      <c r="G52" s="93" t="s">
        <v>255</v>
      </c>
      <c r="H52" s="189">
        <f>HLOOKUP(H$2,'Baseline FRL'!$B$23:$O$28,5,FALSE)</f>
        <v>66475</v>
      </c>
      <c r="I52" s="189">
        <f>HLOOKUP(I$2,'Baseline FRL'!$B$23:$O$28,5,FALSE)</f>
        <v>25443</v>
      </c>
      <c r="J52" s="189">
        <f>HLOOKUP(J$2,'Baseline FRL'!$B$23:$O$28,5,FALSE)</f>
        <v>7258</v>
      </c>
      <c r="K52" s="189">
        <f>HLOOKUP(K$2,'Baseline FRL'!$B$23:$O$28,5,FALSE)</f>
        <v>500</v>
      </c>
      <c r="L52" s="189">
        <f>HLOOKUP(L$2,'Baseline FRL'!$B$23:$O$28,5,FALSE)</f>
        <v>215</v>
      </c>
      <c r="M52" s="189">
        <f>HLOOKUP(M$2,'Baseline FRL'!$B$23:$O$28,5,FALSE)</f>
        <v>3928</v>
      </c>
      <c r="N52" s="189">
        <f>HLOOKUP(N$2,'Baseline FRL'!$B$23:$O$28,5,FALSE)</f>
        <v>508</v>
      </c>
      <c r="O52" s="189">
        <f>HLOOKUP(O$2,'Baseline FRL'!$B$23:$O$28,5,FALSE)</f>
        <v>5</v>
      </c>
      <c r="P52" s="189">
        <f>HLOOKUP(P$2,'Baseline FRL'!$B$23:$O$28,5,FALSE)</f>
        <v>1786</v>
      </c>
      <c r="Q52" s="189">
        <f>HLOOKUP(Q$2,'Baseline FRL'!$B$23:$O$28,5,FALSE)</f>
        <v>528</v>
      </c>
      <c r="R52" s="191">
        <f>HLOOKUP(R$3,'Implementing Areas'!$B$53:$K$64,4,FALSE)</f>
        <v>0.56795741915643094</v>
      </c>
      <c r="S52" s="191">
        <f>HLOOKUP(S$3,'Implementing Areas'!$B$53:$K$64,4,FALSE)</f>
        <v>0.533940445400786</v>
      </c>
      <c r="T52" s="191">
        <f>HLOOKUP(T$3,'Implementing Areas'!$B$53:$K$64,4,FALSE)</f>
        <v>0.533940445400786</v>
      </c>
      <c r="U52" s="191">
        <f>HLOOKUP(U$3,'Implementing Areas'!$B$53:$K$64,4,FALSE)</f>
        <v>0.56795741915643094</v>
      </c>
      <c r="V52" s="191">
        <f>HLOOKUP(V$3,'Implementing Areas'!$B$53:$K$64,4,FALSE)</f>
        <v>0.6837284230655426</v>
      </c>
      <c r="W52" s="191">
        <f>HLOOKUP(W$3,'Implementing Areas'!$B$53:$K$64,4,FALSE)</f>
        <v>0.46493674275751751</v>
      </c>
      <c r="X52" s="191">
        <f>HLOOKUP(X$3,'Implementing Areas'!$B$53:$K$64,4,FALSE)</f>
        <v>0</v>
      </c>
      <c r="Y52" s="191">
        <f>HLOOKUP(Y$3,'Implementing Areas'!$B$53:$K$64,4,FALSE)</f>
        <v>0.46493674275751751</v>
      </c>
      <c r="Z52" s="191">
        <f>HLOOKUP(Z$3,'Implementing Areas'!$B$53:$K$64,4,FALSE)</f>
        <v>0.33170384438737244</v>
      </c>
      <c r="AA52" s="191">
        <f>HLOOKUP(AA$3,'Implementing Areas'!$B$53:$K$64,4,FALSE)</f>
        <v>0.16772301880352328</v>
      </c>
      <c r="AB52" s="193">
        <f>(VLOOKUP($F52,'ER Target'!$C$3:$D$10,2,FALSE))*'Program Activity-Rev'!R52*'ER Target'!$D$12</f>
        <v>1.9878509670475084E-2</v>
      </c>
      <c r="AC52" s="193">
        <f>(VLOOKUP($F52,'ER Target'!$C$3:$D$10,2,FALSE))*'Program Activity-Rev'!S52*'ER Target'!$D$12</f>
        <v>1.868791558902751E-2</v>
      </c>
      <c r="AD52" s="193">
        <f>(VLOOKUP($F52,'ER Target'!$C$3:$D$10,2,FALSE))*'Program Activity-Rev'!T52*'ER Target'!$D$12</f>
        <v>1.868791558902751E-2</v>
      </c>
      <c r="AE52" s="193">
        <f>(VLOOKUP($F52,'ER Target'!$C$3:$D$10,2,FALSE))*'Program Activity-Rev'!U52*'ER Target'!$D$12</f>
        <v>1.9878509670475084E-2</v>
      </c>
      <c r="AF52" s="193">
        <f>(VLOOKUP($F52,'ER Target'!$C$3:$D$10,2,FALSE))*'Program Activity-Rev'!V52*'ER Target'!$D$12</f>
        <v>2.3930494807293992E-2</v>
      </c>
      <c r="AG52" s="193">
        <f>(VLOOKUP($F52,'ER Target'!$C$3:$D$10,2,FALSE))*'Program Activity-Rev'!W52*'ER Target'!$D$12</f>
        <v>1.6272785996513113E-2</v>
      </c>
      <c r="AH52" s="193">
        <f>(VLOOKUP($F52,'ER Target'!$C$3:$D$10,2,FALSE))*'Program Activity-Rev'!X52*'ER Target'!$D$12</f>
        <v>0</v>
      </c>
      <c r="AI52" s="193">
        <f>(VLOOKUP($F52,'ER Target'!$C$3:$D$10,2,FALSE))*'Program Activity-Rev'!Y52*'ER Target'!$D$12</f>
        <v>1.6272785996513113E-2</v>
      </c>
      <c r="AJ52" s="193">
        <f>(VLOOKUP($F52,'ER Target'!$C$3:$D$10,2,FALSE))*'Program Activity-Rev'!Z52*'ER Target'!$D$12</f>
        <v>1.1609634553558037E-2</v>
      </c>
      <c r="AK52" s="193">
        <f>(VLOOKUP($F52,'ER Target'!$C$3:$D$10,2,FALSE))*'Program Activity-Rev'!AA52*'ER Target'!$D$12</f>
        <v>5.8703056581233155E-3</v>
      </c>
      <c r="AL52" s="195">
        <f t="shared" si="1"/>
        <v>1321.4239303448312</v>
      </c>
      <c r="AM52" s="195">
        <f t="shared" si="3"/>
        <v>475.47663633162693</v>
      </c>
      <c r="AN52" s="195">
        <f t="shared" si="4"/>
        <v>135.63689134516167</v>
      </c>
      <c r="AO52" s="195">
        <f t="shared" si="5"/>
        <v>9.9392548352375414</v>
      </c>
      <c r="AP52" s="195">
        <f t="shared" si="6"/>
        <v>5.1450563835682086</v>
      </c>
      <c r="AQ52" s="195">
        <f t="shared" si="7"/>
        <v>63.919503394303511</v>
      </c>
      <c r="AR52" s="195">
        <f t="shared" si="8"/>
        <v>0</v>
      </c>
      <c r="AS52" s="195">
        <f t="shared" si="9"/>
        <v>8.1363929982565558E-2</v>
      </c>
      <c r="AT52" s="195">
        <f t="shared" si="10"/>
        <v>20.734807312654652</v>
      </c>
      <c r="AU52" s="195">
        <f t="shared" si="11"/>
        <v>3.0995213874891108</v>
      </c>
      <c r="AV52" s="197">
        <f>HLOOKUP(AV$2,'Baseline FRL'!$B$23:$O$28,6,FALSE)*'Program Activity-Rev'!AL52</f>
        <v>491674.3823202019</v>
      </c>
      <c r="AW52" s="197">
        <f>HLOOKUP(AW$2,'Baseline FRL'!$B$23:$O$28,6,FALSE)*'Program Activity-Rev'!AM52</f>
        <v>17934.007698334961</v>
      </c>
      <c r="AX52" s="197">
        <f>HLOOKUP(AX$2,'Baseline FRL'!$B$23:$O$28,6,FALSE)*'Program Activity-Rev'!AN52</f>
        <v>69040.971734583843</v>
      </c>
      <c r="AY52" s="197">
        <f>HLOOKUP(AY$2,'Baseline FRL'!$B$23:$O$28,6,FALSE)*'Program Activity-Rev'!AO52</f>
        <v>500.22281734783502</v>
      </c>
      <c r="AZ52" s="197">
        <f>HLOOKUP(AZ$2,'Baseline FRL'!$B$23:$O$28,6,FALSE)*'Program Activity-Rev'!AP52</f>
        <v>251.07875151812857</v>
      </c>
      <c r="BA52" s="197">
        <f>HLOOKUP(BA$2,'Baseline FRL'!$B$23:$O$28,6,FALSE)*'Program Activity-Rev'!AQ52</f>
        <v>13288.357044752609</v>
      </c>
      <c r="BB52" s="197">
        <f>HLOOKUP(BB$2,'Baseline FRL'!$B$23:$O$28,6,FALSE)*'Program Activity-Rev'!AR52</f>
        <v>0</v>
      </c>
      <c r="BC52" s="197">
        <f>HLOOKUP(BC$2,'Baseline FRL'!$B$23:$O$28,6,FALSE)*'Program Activity-Rev'!AS52</f>
        <v>3.3684667012782139</v>
      </c>
      <c r="BD52" s="197">
        <f>HLOOKUP(BD$2,'Baseline FRL'!$B$23:$O$28,6,FALSE)*'Program Activity-Rev'!AT52</f>
        <v>7427.3565827151824</v>
      </c>
      <c r="BE52" s="197">
        <f>HLOOKUP(BE$2,'Baseline FRL'!$B$23:$O$28,6,FALSE)*'Program Activity-Rev'!AU52</f>
        <v>129.55764587478157</v>
      </c>
      <c r="BF52" s="198">
        <f t="shared" si="2"/>
        <v>600249.30306203058</v>
      </c>
    </row>
    <row r="53" spans="1:58" x14ac:dyDescent="0.3">
      <c r="A53" s="7" t="s">
        <v>480</v>
      </c>
      <c r="B53" s="93" t="s">
        <v>448</v>
      </c>
      <c r="C53" s="228" t="s">
        <v>450</v>
      </c>
      <c r="D53" s="229" t="s">
        <v>453</v>
      </c>
      <c r="E53" s="229" t="s">
        <v>454</v>
      </c>
      <c r="F53" s="93" t="s">
        <v>44</v>
      </c>
      <c r="G53" s="93" t="s">
        <v>255</v>
      </c>
      <c r="H53" s="189">
        <f>HLOOKUP(H$2,'Baseline FRL'!$B$23:$O$28,5,FALSE)</f>
        <v>66475</v>
      </c>
      <c r="I53" s="189">
        <f>HLOOKUP(I$2,'Baseline FRL'!$B$23:$O$28,5,FALSE)</f>
        <v>25443</v>
      </c>
      <c r="J53" s="189">
        <f>HLOOKUP(J$2,'Baseline FRL'!$B$23:$O$28,5,FALSE)</f>
        <v>7258</v>
      </c>
      <c r="K53" s="189">
        <f>HLOOKUP(K$2,'Baseline FRL'!$B$23:$O$28,5,FALSE)</f>
        <v>500</v>
      </c>
      <c r="L53" s="189">
        <f>HLOOKUP(L$2,'Baseline FRL'!$B$23:$O$28,5,FALSE)</f>
        <v>215</v>
      </c>
      <c r="M53" s="189">
        <f>HLOOKUP(M$2,'Baseline FRL'!$B$23:$O$28,5,FALSE)</f>
        <v>3928</v>
      </c>
      <c r="N53" s="189">
        <f>HLOOKUP(N$2,'Baseline FRL'!$B$23:$O$28,5,FALSE)</f>
        <v>508</v>
      </c>
      <c r="O53" s="189">
        <f>HLOOKUP(O$2,'Baseline FRL'!$B$23:$O$28,5,FALSE)</f>
        <v>5</v>
      </c>
      <c r="P53" s="189">
        <f>HLOOKUP(P$2,'Baseline FRL'!$B$23:$O$28,5,FALSE)</f>
        <v>1786</v>
      </c>
      <c r="Q53" s="189">
        <f>HLOOKUP(Q$2,'Baseline FRL'!$B$23:$O$28,5,FALSE)</f>
        <v>528</v>
      </c>
      <c r="R53" s="191">
        <f>HLOOKUP(R$3,'Implementing Areas'!$B$53:$K$64,4,FALSE)</f>
        <v>0.56795741915643094</v>
      </c>
      <c r="S53" s="191">
        <f>HLOOKUP(S$3,'Implementing Areas'!$B$53:$K$64,4,FALSE)</f>
        <v>0.533940445400786</v>
      </c>
      <c r="T53" s="191">
        <f>HLOOKUP(T$3,'Implementing Areas'!$B$53:$K$64,4,FALSE)</f>
        <v>0.533940445400786</v>
      </c>
      <c r="U53" s="191">
        <f>HLOOKUP(U$3,'Implementing Areas'!$B$53:$K$64,4,FALSE)</f>
        <v>0.56795741915643094</v>
      </c>
      <c r="V53" s="191">
        <f>HLOOKUP(V$3,'Implementing Areas'!$B$53:$K$64,4,FALSE)</f>
        <v>0.6837284230655426</v>
      </c>
      <c r="W53" s="191">
        <f>HLOOKUP(W$3,'Implementing Areas'!$B$53:$K$64,4,FALSE)</f>
        <v>0.46493674275751751</v>
      </c>
      <c r="X53" s="191">
        <f>HLOOKUP(X$3,'Implementing Areas'!$B$53:$K$64,4,FALSE)</f>
        <v>0</v>
      </c>
      <c r="Y53" s="191">
        <f>HLOOKUP(Y$3,'Implementing Areas'!$B$53:$K$64,4,FALSE)</f>
        <v>0.46493674275751751</v>
      </c>
      <c r="Z53" s="191">
        <f>HLOOKUP(Z$3,'Implementing Areas'!$B$53:$K$64,4,FALSE)</f>
        <v>0.33170384438737244</v>
      </c>
      <c r="AA53" s="191">
        <f>HLOOKUP(AA$3,'Implementing Areas'!$B$53:$K$64,4,FALSE)</f>
        <v>0.16772301880352328</v>
      </c>
      <c r="AB53" s="193">
        <f>(VLOOKUP($F53,'ER Target'!$C$3:$D$10,2,FALSE))*'Program Activity-Rev'!R53*'ER Target'!$D$12</f>
        <v>1.9878509670475084E-2</v>
      </c>
      <c r="AC53" s="193">
        <f>(VLOOKUP($F53,'ER Target'!$C$3:$D$10,2,FALSE))*'Program Activity-Rev'!S53*'ER Target'!$D$12</f>
        <v>1.868791558902751E-2</v>
      </c>
      <c r="AD53" s="193">
        <f>(VLOOKUP($F53,'ER Target'!$C$3:$D$10,2,FALSE))*'Program Activity-Rev'!T53*'ER Target'!$D$12</f>
        <v>1.868791558902751E-2</v>
      </c>
      <c r="AE53" s="193">
        <f>(VLOOKUP($F53,'ER Target'!$C$3:$D$10,2,FALSE))*'Program Activity-Rev'!U53*'ER Target'!$D$12</f>
        <v>1.9878509670475084E-2</v>
      </c>
      <c r="AF53" s="193">
        <f>(VLOOKUP($F53,'ER Target'!$C$3:$D$10,2,FALSE))*'Program Activity-Rev'!V53*'ER Target'!$D$12</f>
        <v>2.3930494807293992E-2</v>
      </c>
      <c r="AG53" s="193">
        <f>(VLOOKUP($F53,'ER Target'!$C$3:$D$10,2,FALSE))*'Program Activity-Rev'!W53*'ER Target'!$D$12</f>
        <v>1.6272785996513113E-2</v>
      </c>
      <c r="AH53" s="193">
        <f>(VLOOKUP($F53,'ER Target'!$C$3:$D$10,2,FALSE))*'Program Activity-Rev'!X53*'ER Target'!$D$12</f>
        <v>0</v>
      </c>
      <c r="AI53" s="193">
        <f>(VLOOKUP($F53,'ER Target'!$C$3:$D$10,2,FALSE))*'Program Activity-Rev'!Y53*'ER Target'!$D$12</f>
        <v>1.6272785996513113E-2</v>
      </c>
      <c r="AJ53" s="193">
        <f>(VLOOKUP($F53,'ER Target'!$C$3:$D$10,2,FALSE))*'Program Activity-Rev'!Z53*'ER Target'!$D$12</f>
        <v>1.1609634553558037E-2</v>
      </c>
      <c r="AK53" s="193">
        <f>(VLOOKUP($F53,'ER Target'!$C$3:$D$10,2,FALSE))*'Program Activity-Rev'!AA53*'ER Target'!$D$12</f>
        <v>5.8703056581233155E-3</v>
      </c>
      <c r="AL53" s="195">
        <f t="shared" si="1"/>
        <v>1321.4239303448312</v>
      </c>
      <c r="AM53" s="195">
        <f t="shared" si="3"/>
        <v>475.47663633162693</v>
      </c>
      <c r="AN53" s="195">
        <f t="shared" si="4"/>
        <v>135.63689134516167</v>
      </c>
      <c r="AO53" s="195">
        <f t="shared" si="5"/>
        <v>9.9392548352375414</v>
      </c>
      <c r="AP53" s="195">
        <f t="shared" si="6"/>
        <v>5.1450563835682086</v>
      </c>
      <c r="AQ53" s="195">
        <f t="shared" si="7"/>
        <v>63.919503394303511</v>
      </c>
      <c r="AR53" s="195">
        <f t="shared" si="8"/>
        <v>0</v>
      </c>
      <c r="AS53" s="195">
        <f t="shared" si="9"/>
        <v>8.1363929982565558E-2</v>
      </c>
      <c r="AT53" s="195">
        <f t="shared" si="10"/>
        <v>20.734807312654652</v>
      </c>
      <c r="AU53" s="195">
        <f t="shared" si="11"/>
        <v>3.0995213874891108</v>
      </c>
      <c r="AV53" s="197">
        <f>HLOOKUP(AV$2,'Baseline FRL'!$B$23:$O$28,6,FALSE)*'Program Activity-Rev'!AL53</f>
        <v>491674.3823202019</v>
      </c>
      <c r="AW53" s="197">
        <f>HLOOKUP(AW$2,'Baseline FRL'!$B$23:$O$28,6,FALSE)*'Program Activity-Rev'!AM53</f>
        <v>17934.007698334961</v>
      </c>
      <c r="AX53" s="197">
        <f>HLOOKUP(AX$2,'Baseline FRL'!$B$23:$O$28,6,FALSE)*'Program Activity-Rev'!AN53</f>
        <v>69040.971734583843</v>
      </c>
      <c r="AY53" s="197">
        <f>HLOOKUP(AY$2,'Baseline FRL'!$B$23:$O$28,6,FALSE)*'Program Activity-Rev'!AO53</f>
        <v>500.22281734783502</v>
      </c>
      <c r="AZ53" s="197">
        <f>HLOOKUP(AZ$2,'Baseline FRL'!$B$23:$O$28,6,FALSE)*'Program Activity-Rev'!AP53</f>
        <v>251.07875151812857</v>
      </c>
      <c r="BA53" s="197">
        <f>HLOOKUP(BA$2,'Baseline FRL'!$B$23:$O$28,6,FALSE)*'Program Activity-Rev'!AQ53</f>
        <v>13288.357044752609</v>
      </c>
      <c r="BB53" s="197">
        <f>HLOOKUP(BB$2,'Baseline FRL'!$B$23:$O$28,6,FALSE)*'Program Activity-Rev'!AR53</f>
        <v>0</v>
      </c>
      <c r="BC53" s="197">
        <f>HLOOKUP(BC$2,'Baseline FRL'!$B$23:$O$28,6,FALSE)*'Program Activity-Rev'!AS53</f>
        <v>3.3684667012782139</v>
      </c>
      <c r="BD53" s="197">
        <f>HLOOKUP(BD$2,'Baseline FRL'!$B$23:$O$28,6,FALSE)*'Program Activity-Rev'!AT53</f>
        <v>7427.3565827151824</v>
      </c>
      <c r="BE53" s="197">
        <f>HLOOKUP(BE$2,'Baseline FRL'!$B$23:$O$28,6,FALSE)*'Program Activity-Rev'!AU53</f>
        <v>129.55764587478157</v>
      </c>
      <c r="BF53" s="198">
        <f t="shared" si="2"/>
        <v>600249.30306203058</v>
      </c>
    </row>
    <row r="54" spans="1:58" x14ac:dyDescent="0.3">
      <c r="A54" s="7" t="s">
        <v>480</v>
      </c>
      <c r="B54" s="93" t="s">
        <v>448</v>
      </c>
      <c r="C54" s="228" t="s">
        <v>450</v>
      </c>
      <c r="D54" s="229" t="s">
        <v>455</v>
      </c>
      <c r="E54" s="229" t="s">
        <v>456</v>
      </c>
      <c r="F54" s="93" t="s">
        <v>44</v>
      </c>
      <c r="G54" s="93" t="s">
        <v>255</v>
      </c>
      <c r="H54" s="189">
        <f>HLOOKUP(H$2,'Baseline FRL'!$B$23:$O$28,5,FALSE)</f>
        <v>66475</v>
      </c>
      <c r="I54" s="189">
        <f>HLOOKUP(I$2,'Baseline FRL'!$B$23:$O$28,5,FALSE)</f>
        <v>25443</v>
      </c>
      <c r="J54" s="189">
        <f>HLOOKUP(J$2,'Baseline FRL'!$B$23:$O$28,5,FALSE)</f>
        <v>7258</v>
      </c>
      <c r="K54" s="189">
        <f>HLOOKUP(K$2,'Baseline FRL'!$B$23:$O$28,5,FALSE)</f>
        <v>500</v>
      </c>
      <c r="L54" s="189">
        <f>HLOOKUP(L$2,'Baseline FRL'!$B$23:$O$28,5,FALSE)</f>
        <v>215</v>
      </c>
      <c r="M54" s="189">
        <f>HLOOKUP(M$2,'Baseline FRL'!$B$23:$O$28,5,FALSE)</f>
        <v>3928</v>
      </c>
      <c r="N54" s="189">
        <f>HLOOKUP(N$2,'Baseline FRL'!$B$23:$O$28,5,FALSE)</f>
        <v>508</v>
      </c>
      <c r="O54" s="189">
        <f>HLOOKUP(O$2,'Baseline FRL'!$B$23:$O$28,5,FALSE)</f>
        <v>5</v>
      </c>
      <c r="P54" s="189">
        <f>HLOOKUP(P$2,'Baseline FRL'!$B$23:$O$28,5,FALSE)</f>
        <v>1786</v>
      </c>
      <c r="Q54" s="189">
        <f>HLOOKUP(Q$2,'Baseline FRL'!$B$23:$O$28,5,FALSE)</f>
        <v>528</v>
      </c>
      <c r="R54" s="191">
        <f>HLOOKUP(R$3,'Implementing Areas'!$B$53:$K$64,4,FALSE)</f>
        <v>0.56795741915643094</v>
      </c>
      <c r="S54" s="191">
        <f>HLOOKUP(S$3,'Implementing Areas'!$B$53:$K$64,4,FALSE)</f>
        <v>0.533940445400786</v>
      </c>
      <c r="T54" s="191">
        <f>HLOOKUP(T$3,'Implementing Areas'!$B$53:$K$64,4,FALSE)</f>
        <v>0.533940445400786</v>
      </c>
      <c r="U54" s="191">
        <f>HLOOKUP(U$3,'Implementing Areas'!$B$53:$K$64,4,FALSE)</f>
        <v>0.56795741915643094</v>
      </c>
      <c r="V54" s="191">
        <f>HLOOKUP(V$3,'Implementing Areas'!$B$53:$K$64,4,FALSE)</f>
        <v>0.6837284230655426</v>
      </c>
      <c r="W54" s="191">
        <f>HLOOKUP(W$3,'Implementing Areas'!$B$53:$K$64,4,FALSE)</f>
        <v>0.46493674275751751</v>
      </c>
      <c r="X54" s="191">
        <f>HLOOKUP(X$3,'Implementing Areas'!$B$53:$K$64,4,FALSE)</f>
        <v>0</v>
      </c>
      <c r="Y54" s="191">
        <f>HLOOKUP(Y$3,'Implementing Areas'!$B$53:$K$64,4,FALSE)</f>
        <v>0.46493674275751751</v>
      </c>
      <c r="Z54" s="191">
        <f>HLOOKUP(Z$3,'Implementing Areas'!$B$53:$K$64,4,FALSE)</f>
        <v>0.33170384438737244</v>
      </c>
      <c r="AA54" s="191">
        <f>HLOOKUP(AA$3,'Implementing Areas'!$B$53:$K$64,4,FALSE)</f>
        <v>0.16772301880352328</v>
      </c>
      <c r="AB54" s="193">
        <f>(VLOOKUP($F54,'ER Target'!$C$3:$D$10,2,FALSE))*'Program Activity-Rev'!R54*'ER Target'!$D$12</f>
        <v>1.9878509670475084E-2</v>
      </c>
      <c r="AC54" s="193">
        <f>(VLOOKUP($F54,'ER Target'!$C$3:$D$10,2,FALSE))*'Program Activity-Rev'!S54*'ER Target'!$D$12</f>
        <v>1.868791558902751E-2</v>
      </c>
      <c r="AD54" s="193">
        <f>(VLOOKUP($F54,'ER Target'!$C$3:$D$10,2,FALSE))*'Program Activity-Rev'!T54*'ER Target'!$D$12</f>
        <v>1.868791558902751E-2</v>
      </c>
      <c r="AE54" s="193">
        <f>(VLOOKUP($F54,'ER Target'!$C$3:$D$10,2,FALSE))*'Program Activity-Rev'!U54*'ER Target'!$D$12</f>
        <v>1.9878509670475084E-2</v>
      </c>
      <c r="AF54" s="193">
        <f>(VLOOKUP($F54,'ER Target'!$C$3:$D$10,2,FALSE))*'Program Activity-Rev'!V54*'ER Target'!$D$12</f>
        <v>2.3930494807293992E-2</v>
      </c>
      <c r="AG54" s="193">
        <f>(VLOOKUP($F54,'ER Target'!$C$3:$D$10,2,FALSE))*'Program Activity-Rev'!W54*'ER Target'!$D$12</f>
        <v>1.6272785996513113E-2</v>
      </c>
      <c r="AH54" s="193">
        <f>(VLOOKUP($F54,'ER Target'!$C$3:$D$10,2,FALSE))*'Program Activity-Rev'!X54*'ER Target'!$D$12</f>
        <v>0</v>
      </c>
      <c r="AI54" s="193">
        <f>(VLOOKUP($F54,'ER Target'!$C$3:$D$10,2,FALSE))*'Program Activity-Rev'!Y54*'ER Target'!$D$12</f>
        <v>1.6272785996513113E-2</v>
      </c>
      <c r="AJ54" s="193">
        <f>(VLOOKUP($F54,'ER Target'!$C$3:$D$10,2,FALSE))*'Program Activity-Rev'!Z54*'ER Target'!$D$12</f>
        <v>1.1609634553558037E-2</v>
      </c>
      <c r="AK54" s="193">
        <f>(VLOOKUP($F54,'ER Target'!$C$3:$D$10,2,FALSE))*'Program Activity-Rev'!AA54*'ER Target'!$D$12</f>
        <v>5.8703056581233155E-3</v>
      </c>
      <c r="AL54" s="195">
        <f t="shared" si="1"/>
        <v>1321.4239303448312</v>
      </c>
      <c r="AM54" s="195">
        <f t="shared" si="3"/>
        <v>475.47663633162693</v>
      </c>
      <c r="AN54" s="195">
        <f t="shared" si="4"/>
        <v>135.63689134516167</v>
      </c>
      <c r="AO54" s="195">
        <f t="shared" si="5"/>
        <v>9.9392548352375414</v>
      </c>
      <c r="AP54" s="195">
        <f t="shared" si="6"/>
        <v>5.1450563835682086</v>
      </c>
      <c r="AQ54" s="195">
        <f t="shared" si="7"/>
        <v>63.919503394303511</v>
      </c>
      <c r="AR54" s="195">
        <f t="shared" si="8"/>
        <v>0</v>
      </c>
      <c r="AS54" s="195">
        <f t="shared" si="9"/>
        <v>8.1363929982565558E-2</v>
      </c>
      <c r="AT54" s="195">
        <f t="shared" si="10"/>
        <v>20.734807312654652</v>
      </c>
      <c r="AU54" s="195">
        <f t="shared" si="11"/>
        <v>3.0995213874891108</v>
      </c>
      <c r="AV54" s="197">
        <f>HLOOKUP(AV$2,'Baseline FRL'!$B$23:$O$28,6,FALSE)*'Program Activity-Rev'!AL54</f>
        <v>491674.3823202019</v>
      </c>
      <c r="AW54" s="197">
        <f>HLOOKUP(AW$2,'Baseline FRL'!$B$23:$O$28,6,FALSE)*'Program Activity-Rev'!AM54</f>
        <v>17934.007698334961</v>
      </c>
      <c r="AX54" s="197">
        <f>HLOOKUP(AX$2,'Baseline FRL'!$B$23:$O$28,6,FALSE)*'Program Activity-Rev'!AN54</f>
        <v>69040.971734583843</v>
      </c>
      <c r="AY54" s="197">
        <f>HLOOKUP(AY$2,'Baseline FRL'!$B$23:$O$28,6,FALSE)*'Program Activity-Rev'!AO54</f>
        <v>500.22281734783502</v>
      </c>
      <c r="AZ54" s="197">
        <f>HLOOKUP(AZ$2,'Baseline FRL'!$B$23:$O$28,6,FALSE)*'Program Activity-Rev'!AP54</f>
        <v>251.07875151812857</v>
      </c>
      <c r="BA54" s="197">
        <f>HLOOKUP(BA$2,'Baseline FRL'!$B$23:$O$28,6,FALSE)*'Program Activity-Rev'!AQ54</f>
        <v>13288.357044752609</v>
      </c>
      <c r="BB54" s="197">
        <f>HLOOKUP(BB$2,'Baseline FRL'!$B$23:$O$28,6,FALSE)*'Program Activity-Rev'!AR54</f>
        <v>0</v>
      </c>
      <c r="BC54" s="197">
        <f>HLOOKUP(BC$2,'Baseline FRL'!$B$23:$O$28,6,FALSE)*'Program Activity-Rev'!AS54</f>
        <v>3.3684667012782139</v>
      </c>
      <c r="BD54" s="197">
        <f>HLOOKUP(BD$2,'Baseline FRL'!$B$23:$O$28,6,FALSE)*'Program Activity-Rev'!AT54</f>
        <v>7427.3565827151824</v>
      </c>
      <c r="BE54" s="197">
        <f>HLOOKUP(BE$2,'Baseline FRL'!$B$23:$O$28,6,FALSE)*'Program Activity-Rev'!AU54</f>
        <v>129.55764587478157</v>
      </c>
      <c r="BF54" s="198">
        <f t="shared" si="2"/>
        <v>600249.30306203058</v>
      </c>
    </row>
    <row r="55" spans="1:58" ht="28.8" x14ac:dyDescent="0.3">
      <c r="A55" s="7" t="s">
        <v>480</v>
      </c>
      <c r="B55" s="93" t="s">
        <v>448</v>
      </c>
      <c r="C55" s="228" t="s">
        <v>450</v>
      </c>
      <c r="D55" s="229" t="s">
        <v>457</v>
      </c>
      <c r="E55" s="229" t="s">
        <v>458</v>
      </c>
      <c r="F55" s="93" t="s">
        <v>339</v>
      </c>
      <c r="G55" s="93" t="s">
        <v>255</v>
      </c>
      <c r="H55" s="189">
        <f>HLOOKUP(H$2,'Baseline FRL'!$B$23:$O$28,5,FALSE)</f>
        <v>66475</v>
      </c>
      <c r="I55" s="189">
        <f>HLOOKUP(I$2,'Baseline FRL'!$B$23:$O$28,5,FALSE)</f>
        <v>25443</v>
      </c>
      <c r="J55" s="189">
        <f>HLOOKUP(J$2,'Baseline FRL'!$B$23:$O$28,5,FALSE)</f>
        <v>7258</v>
      </c>
      <c r="K55" s="189">
        <f>HLOOKUP(K$2,'Baseline FRL'!$B$23:$O$28,5,FALSE)</f>
        <v>500</v>
      </c>
      <c r="L55" s="189">
        <f>HLOOKUP(L$2,'Baseline FRL'!$B$23:$O$28,5,FALSE)</f>
        <v>215</v>
      </c>
      <c r="M55" s="189">
        <f>HLOOKUP(M$2,'Baseline FRL'!$B$23:$O$28,5,FALSE)</f>
        <v>3928</v>
      </c>
      <c r="N55" s="189">
        <f>HLOOKUP(N$2,'Baseline FRL'!$B$23:$O$28,5,FALSE)</f>
        <v>508</v>
      </c>
      <c r="O55" s="189">
        <f>HLOOKUP(O$2,'Baseline FRL'!$B$23:$O$28,5,FALSE)</f>
        <v>5</v>
      </c>
      <c r="P55" s="189">
        <f>HLOOKUP(P$2,'Baseline FRL'!$B$23:$O$28,5,FALSE)</f>
        <v>1786</v>
      </c>
      <c r="Q55" s="189">
        <f>HLOOKUP(Q$2,'Baseline FRL'!$B$23:$O$28,5,FALSE)</f>
        <v>528</v>
      </c>
      <c r="R55" s="191">
        <f>HLOOKUP(R$3,'Implementing Areas'!$B$53:$K$65,13,FALSE)</f>
        <v>0.26971622008623608</v>
      </c>
      <c r="S55" s="191">
        <f>HLOOKUP(S$3,'Implementing Areas'!$B$53:$K$65,13,FALSE)</f>
        <v>0.1982994756570709</v>
      </c>
      <c r="T55" s="191">
        <f>HLOOKUP(T$3,'Implementing Areas'!$B$53:$K$65,13,FALSE)</f>
        <v>0.1982994756570709</v>
      </c>
      <c r="U55" s="191">
        <f>HLOOKUP(U$3,'Implementing Areas'!$B$53:$K$65,13,FALSE)</f>
        <v>0.26971622008623608</v>
      </c>
      <c r="V55" s="191">
        <f>HLOOKUP(V$3,'Implementing Areas'!$B$53:$K$65,13,FALSE)</f>
        <v>0.13065420585020121</v>
      </c>
      <c r="W55" s="191">
        <f>HLOOKUP(W$3,'Implementing Areas'!$B$53:$K$65,13,FALSE)</f>
        <v>0.37574188487837912</v>
      </c>
      <c r="X55" s="191">
        <f>HLOOKUP(X$3,'Implementing Areas'!$B$53:$K$65,13,FALSE)</f>
        <v>0</v>
      </c>
      <c r="Y55" s="191">
        <f>HLOOKUP(Y$3,'Implementing Areas'!$B$53:$K$65,13,FALSE)</f>
        <v>0.37574188487837912</v>
      </c>
      <c r="Z55" s="191">
        <f>HLOOKUP(Z$3,'Implementing Areas'!$B$53:$K$65,13,FALSE)</f>
        <v>0.10442856312845131</v>
      </c>
      <c r="AA55" s="191">
        <f>HLOOKUP(AA$3,'Implementing Areas'!$B$53:$K$65,13,FALSE)</f>
        <v>2.7345209391941527E-2</v>
      </c>
      <c r="AB55" s="193">
        <f>(VLOOKUP($F55,'ER Target'!$C$3:$D$10,2,FALSE))*'Program Activity-Rev'!R55*'ER Target'!$D$12</f>
        <v>3.371452751077951E-2</v>
      </c>
      <c r="AC55" s="193">
        <f>(VLOOKUP($F55,'ER Target'!$C$3:$D$10,2,FALSE))*'Program Activity-Rev'!S55*'ER Target'!$D$12</f>
        <v>2.4787434457133863E-2</v>
      </c>
      <c r="AD55" s="193">
        <f>(VLOOKUP($F55,'ER Target'!$C$3:$D$10,2,FALSE))*'Program Activity-Rev'!T55*'ER Target'!$D$12</f>
        <v>2.4787434457133863E-2</v>
      </c>
      <c r="AE55" s="193">
        <f>(VLOOKUP($F55,'ER Target'!$C$3:$D$10,2,FALSE))*'Program Activity-Rev'!U55*'ER Target'!$D$12</f>
        <v>3.371452751077951E-2</v>
      </c>
      <c r="AF55" s="193">
        <f>(VLOOKUP($F55,'ER Target'!$C$3:$D$10,2,FALSE))*'Program Activity-Rev'!V55*'ER Target'!$D$12</f>
        <v>1.6331775731275151E-2</v>
      </c>
      <c r="AG55" s="193">
        <f>(VLOOKUP($F55,'ER Target'!$C$3:$D$10,2,FALSE))*'Program Activity-Rev'!W55*'ER Target'!$D$12</f>
        <v>4.696773560979739E-2</v>
      </c>
      <c r="AH55" s="193">
        <f>(VLOOKUP($F55,'ER Target'!$C$3:$D$10,2,FALSE))*'Program Activity-Rev'!X55*'ER Target'!$D$12</f>
        <v>0</v>
      </c>
      <c r="AI55" s="193">
        <f>(VLOOKUP($F55,'ER Target'!$C$3:$D$10,2,FALSE))*'Program Activity-Rev'!Y55*'ER Target'!$D$12</f>
        <v>4.696773560979739E-2</v>
      </c>
      <c r="AJ55" s="193">
        <f>(VLOOKUP($F55,'ER Target'!$C$3:$D$10,2,FALSE))*'Program Activity-Rev'!Z55*'ER Target'!$D$12</f>
        <v>1.3053570391056413E-2</v>
      </c>
      <c r="AK55" s="193">
        <f>(VLOOKUP($F55,'ER Target'!$C$3:$D$10,2,FALSE))*'Program Activity-Rev'!AA55*'ER Target'!$D$12</f>
        <v>3.4181511739926908E-3</v>
      </c>
      <c r="AL55" s="195">
        <f t="shared" si="1"/>
        <v>2241.1732162790681</v>
      </c>
      <c r="AM55" s="195">
        <f t="shared" si="3"/>
        <v>630.66669489285687</v>
      </c>
      <c r="AN55" s="195">
        <f t="shared" si="4"/>
        <v>179.90719928987758</v>
      </c>
      <c r="AO55" s="195">
        <f t="shared" si="5"/>
        <v>16.857263755389756</v>
      </c>
      <c r="AP55" s="195">
        <f t="shared" si="6"/>
        <v>3.5113317822241576</v>
      </c>
      <c r="AQ55" s="195">
        <f t="shared" si="7"/>
        <v>184.48926547528416</v>
      </c>
      <c r="AR55" s="195">
        <f t="shared" si="8"/>
        <v>0</v>
      </c>
      <c r="AS55" s="195">
        <f t="shared" si="9"/>
        <v>0.23483867804898695</v>
      </c>
      <c r="AT55" s="195">
        <f t="shared" si="10"/>
        <v>23.313676718426755</v>
      </c>
      <c r="AU55" s="195">
        <f t="shared" si="11"/>
        <v>1.8047838198681407</v>
      </c>
      <c r="AV55" s="197">
        <f>HLOOKUP(AV$2,'Baseline FRL'!$B$23:$O$28,6,FALSE)*'Program Activity-Rev'!AL55</f>
        <v>833893.97715768509</v>
      </c>
      <c r="AW55" s="197">
        <f>HLOOKUP(AW$2,'Baseline FRL'!$B$23:$O$28,6,FALSE)*'Program Activity-Rev'!AM55</f>
        <v>23787.459776264168</v>
      </c>
      <c r="AX55" s="197">
        <f>HLOOKUP(AX$2,'Baseline FRL'!$B$23:$O$28,6,FALSE)*'Program Activity-Rev'!AN55</f>
        <v>91575.144032255572</v>
      </c>
      <c r="AY55" s="197">
        <f>HLOOKUP(AY$2,'Baseline FRL'!$B$23:$O$28,6,FALSE)*'Program Activity-Rev'!AO55</f>
        <v>848.39237028125569</v>
      </c>
      <c r="AZ55" s="197">
        <f>HLOOKUP(AZ$2,'Baseline FRL'!$B$23:$O$28,6,FALSE)*'Program Activity-Rev'!AP55</f>
        <v>171.35299097253889</v>
      </c>
      <c r="BA55" s="197">
        <f>HLOOKUP(BA$2,'Baseline FRL'!$B$23:$O$28,6,FALSE)*'Program Activity-Rev'!AQ55</f>
        <v>38353.852898960547</v>
      </c>
      <c r="BB55" s="197">
        <f>HLOOKUP(BB$2,'Baseline FRL'!$B$23:$O$28,6,FALSE)*'Program Activity-Rev'!AR55</f>
        <v>0</v>
      </c>
      <c r="BC55" s="197">
        <f>HLOOKUP(BC$2,'Baseline FRL'!$B$23:$O$28,6,FALSE)*'Program Activity-Rev'!AS55</f>
        <v>9.7223212712280596</v>
      </c>
      <c r="BD55" s="197">
        <f>HLOOKUP(BD$2,'Baseline FRL'!$B$23:$O$28,6,FALSE)*'Program Activity-Rev'!AT55</f>
        <v>8351.1260862414692</v>
      </c>
      <c r="BE55" s="197">
        <f>HLOOKUP(BE$2,'Baseline FRL'!$B$23:$O$28,6,FALSE)*'Program Activity-Rev'!AU55</f>
        <v>75.438596410018675</v>
      </c>
      <c r="BF55" s="198">
        <f t="shared" si="2"/>
        <v>997066.46623034193</v>
      </c>
    </row>
    <row r="56" spans="1:58" ht="28.8" x14ac:dyDescent="0.3">
      <c r="A56" s="7" t="s">
        <v>480</v>
      </c>
      <c r="B56" s="93" t="s">
        <v>448</v>
      </c>
      <c r="C56" s="227" t="s">
        <v>459</v>
      </c>
      <c r="D56" s="233"/>
      <c r="E56" s="227" t="s">
        <v>460</v>
      </c>
      <c r="F56" s="183"/>
      <c r="G56" s="93"/>
      <c r="H56" s="189"/>
      <c r="I56" s="189"/>
      <c r="J56" s="189"/>
      <c r="K56" s="189"/>
      <c r="L56" s="189"/>
      <c r="M56" s="189"/>
      <c r="N56" s="189"/>
      <c r="O56" s="189"/>
      <c r="P56" s="189"/>
      <c r="Q56" s="189"/>
      <c r="R56" s="191"/>
      <c r="S56" s="191"/>
      <c r="T56" s="191"/>
      <c r="U56" s="191"/>
      <c r="V56" s="191"/>
      <c r="W56" s="191"/>
      <c r="X56" s="191"/>
      <c r="Y56" s="191"/>
      <c r="Z56" s="191"/>
      <c r="AA56" s="191"/>
      <c r="AB56" s="193"/>
      <c r="AC56" s="193"/>
      <c r="AD56" s="193"/>
      <c r="AE56" s="193"/>
      <c r="AF56" s="193"/>
      <c r="AG56" s="193"/>
      <c r="AH56" s="193"/>
      <c r="AI56" s="193"/>
      <c r="AJ56" s="193"/>
      <c r="AK56" s="193"/>
      <c r="AL56" s="195"/>
      <c r="AM56" s="195"/>
      <c r="AN56" s="195"/>
      <c r="AO56" s="195"/>
      <c r="AP56" s="195"/>
      <c r="AQ56" s="195"/>
      <c r="AR56" s="195"/>
      <c r="AS56" s="195"/>
      <c r="AT56" s="195"/>
      <c r="AU56" s="195"/>
      <c r="AV56" s="197"/>
      <c r="AW56" s="197"/>
      <c r="AX56" s="197"/>
      <c r="AY56" s="197"/>
      <c r="AZ56" s="197"/>
      <c r="BA56" s="197"/>
      <c r="BB56" s="197"/>
      <c r="BC56" s="197"/>
      <c r="BD56" s="197"/>
      <c r="BE56" s="197"/>
      <c r="BF56" s="198"/>
    </row>
    <row r="57" spans="1:58" s="173" customFormat="1" x14ac:dyDescent="0.3">
      <c r="A57" s="7" t="s">
        <v>480</v>
      </c>
      <c r="B57" s="93" t="s">
        <v>448</v>
      </c>
      <c r="C57" s="235" t="s">
        <v>459</v>
      </c>
      <c r="D57" s="236" t="s">
        <v>461</v>
      </c>
      <c r="E57" s="236" t="s">
        <v>462</v>
      </c>
      <c r="F57" s="183"/>
      <c r="G57" s="183"/>
      <c r="H57" s="189"/>
      <c r="I57" s="189"/>
      <c r="J57" s="189"/>
      <c r="K57" s="189"/>
      <c r="L57" s="189"/>
      <c r="M57" s="189"/>
      <c r="N57" s="189"/>
      <c r="O57" s="189"/>
      <c r="P57" s="189"/>
      <c r="Q57" s="189"/>
      <c r="R57" s="242"/>
      <c r="S57" s="242"/>
      <c r="T57" s="242"/>
      <c r="U57" s="242"/>
      <c r="V57" s="242"/>
      <c r="W57" s="242"/>
      <c r="X57" s="242"/>
      <c r="Y57" s="242"/>
      <c r="Z57" s="242"/>
      <c r="AA57" s="242"/>
      <c r="AB57" s="243"/>
      <c r="AC57" s="243"/>
      <c r="AD57" s="243"/>
      <c r="AE57" s="243"/>
      <c r="AF57" s="243"/>
      <c r="AG57" s="243"/>
      <c r="AH57" s="243"/>
      <c r="AI57" s="243"/>
      <c r="AJ57" s="243"/>
      <c r="AK57" s="243"/>
      <c r="AL57" s="244"/>
      <c r="AM57" s="244"/>
      <c r="AN57" s="244"/>
      <c r="AO57" s="244"/>
      <c r="AP57" s="244"/>
      <c r="AQ57" s="244"/>
      <c r="AR57" s="244"/>
      <c r="AS57" s="244"/>
      <c r="AT57" s="244"/>
      <c r="AU57" s="244"/>
      <c r="AV57" s="245"/>
      <c r="AW57" s="245"/>
      <c r="AX57" s="245"/>
      <c r="AY57" s="245"/>
      <c r="AZ57" s="245"/>
      <c r="BA57" s="245"/>
      <c r="BB57" s="245"/>
      <c r="BC57" s="245"/>
      <c r="BD57" s="245"/>
      <c r="BE57" s="245"/>
      <c r="BF57" s="238"/>
    </row>
    <row r="58" spans="1:58" s="173" customFormat="1" ht="28.8" x14ac:dyDescent="0.3">
      <c r="A58" s="7" t="s">
        <v>480</v>
      </c>
      <c r="B58" s="93" t="s">
        <v>448</v>
      </c>
      <c r="C58" s="235" t="s">
        <v>459</v>
      </c>
      <c r="D58" s="236" t="s">
        <v>463</v>
      </c>
      <c r="E58" s="236" t="s">
        <v>464</v>
      </c>
      <c r="F58" s="183"/>
      <c r="G58" s="183"/>
      <c r="H58" s="189"/>
      <c r="I58" s="189"/>
      <c r="J58" s="189"/>
      <c r="K58" s="189"/>
      <c r="L58" s="189"/>
      <c r="M58" s="189"/>
      <c r="N58" s="189"/>
      <c r="O58" s="189"/>
      <c r="P58" s="189"/>
      <c r="Q58" s="189"/>
      <c r="R58" s="242"/>
      <c r="S58" s="242"/>
      <c r="T58" s="242"/>
      <c r="U58" s="242"/>
      <c r="V58" s="242"/>
      <c r="W58" s="242"/>
      <c r="X58" s="242"/>
      <c r="Y58" s="242"/>
      <c r="Z58" s="242"/>
      <c r="AA58" s="242"/>
      <c r="AB58" s="243"/>
      <c r="AC58" s="243"/>
      <c r="AD58" s="243"/>
      <c r="AE58" s="243"/>
      <c r="AF58" s="243"/>
      <c r="AG58" s="243"/>
      <c r="AH58" s="243"/>
      <c r="AI58" s="243"/>
      <c r="AJ58" s="243"/>
      <c r="AK58" s="243"/>
      <c r="AL58" s="244"/>
      <c r="AM58" s="244"/>
      <c r="AN58" s="244"/>
      <c r="AO58" s="244"/>
      <c r="AP58" s="244"/>
      <c r="AQ58" s="244"/>
      <c r="AR58" s="244"/>
      <c r="AS58" s="244"/>
      <c r="AT58" s="244"/>
      <c r="AU58" s="244"/>
      <c r="AV58" s="245"/>
      <c r="AW58" s="245"/>
      <c r="AX58" s="245"/>
      <c r="AY58" s="245"/>
      <c r="AZ58" s="245"/>
      <c r="BA58" s="245"/>
      <c r="BB58" s="245"/>
      <c r="BC58" s="245"/>
      <c r="BD58" s="245"/>
      <c r="BE58" s="245"/>
      <c r="BF58" s="238"/>
    </row>
    <row r="59" spans="1:58" s="173" customFormat="1" x14ac:dyDescent="0.3">
      <c r="A59" s="7" t="s">
        <v>480</v>
      </c>
      <c r="B59" s="93" t="s">
        <v>448</v>
      </c>
      <c r="C59" s="235" t="s">
        <v>459</v>
      </c>
      <c r="D59" s="236" t="s">
        <v>465</v>
      </c>
      <c r="E59" s="236" t="s">
        <v>466</v>
      </c>
      <c r="F59" s="183"/>
      <c r="G59" s="183"/>
      <c r="H59" s="189"/>
      <c r="I59" s="189"/>
      <c r="J59" s="189"/>
      <c r="K59" s="189"/>
      <c r="L59" s="189"/>
      <c r="M59" s="189"/>
      <c r="N59" s="189"/>
      <c r="O59" s="189"/>
      <c r="P59" s="189"/>
      <c r="Q59" s="189"/>
      <c r="R59" s="242"/>
      <c r="S59" s="242"/>
      <c r="T59" s="242"/>
      <c r="U59" s="242"/>
      <c r="V59" s="242"/>
      <c r="W59" s="242"/>
      <c r="X59" s="242"/>
      <c r="Y59" s="242"/>
      <c r="Z59" s="242"/>
      <c r="AA59" s="242"/>
      <c r="AB59" s="243"/>
      <c r="AC59" s="243"/>
      <c r="AD59" s="243"/>
      <c r="AE59" s="243"/>
      <c r="AF59" s="243"/>
      <c r="AG59" s="243"/>
      <c r="AH59" s="243"/>
      <c r="AI59" s="243"/>
      <c r="AJ59" s="243"/>
      <c r="AK59" s="243"/>
      <c r="AL59" s="244"/>
      <c r="AM59" s="244"/>
      <c r="AN59" s="244"/>
      <c r="AO59" s="244"/>
      <c r="AP59" s="244"/>
      <c r="AQ59" s="244"/>
      <c r="AR59" s="244"/>
      <c r="AS59" s="244"/>
      <c r="AT59" s="244"/>
      <c r="AU59" s="244"/>
      <c r="AV59" s="245"/>
      <c r="AW59" s="245"/>
      <c r="AX59" s="245"/>
      <c r="AY59" s="245"/>
      <c r="AZ59" s="245"/>
      <c r="BA59" s="245"/>
      <c r="BB59" s="245"/>
      <c r="BC59" s="245"/>
      <c r="BD59" s="245"/>
      <c r="BE59" s="245"/>
      <c r="BF59" s="238"/>
    </row>
    <row r="60" spans="1:58" ht="28.8" x14ac:dyDescent="0.3">
      <c r="A60" s="7" t="s">
        <v>480</v>
      </c>
      <c r="B60" s="93" t="s">
        <v>467</v>
      </c>
      <c r="C60" s="232"/>
      <c r="D60" s="231"/>
      <c r="E60" s="231" t="s">
        <v>468</v>
      </c>
      <c r="F60" s="183"/>
      <c r="G60" s="93"/>
      <c r="H60" s="189"/>
      <c r="I60" s="189"/>
      <c r="J60" s="189"/>
      <c r="K60" s="189"/>
      <c r="L60" s="189"/>
      <c r="M60" s="189"/>
      <c r="N60" s="189"/>
      <c r="O60" s="189"/>
      <c r="P60" s="189"/>
      <c r="Q60" s="189"/>
      <c r="R60" s="191"/>
      <c r="S60" s="191"/>
      <c r="T60" s="191"/>
      <c r="U60" s="191"/>
      <c r="V60" s="191"/>
      <c r="W60" s="191"/>
      <c r="X60" s="191"/>
      <c r="Y60" s="191"/>
      <c r="Z60" s="191"/>
      <c r="AA60" s="191"/>
      <c r="AB60" s="193"/>
      <c r="AC60" s="193"/>
      <c r="AD60" s="193"/>
      <c r="AE60" s="193"/>
      <c r="AF60" s="193"/>
      <c r="AG60" s="193"/>
      <c r="AH60" s="193"/>
      <c r="AI60" s="193"/>
      <c r="AJ60" s="193"/>
      <c r="AK60" s="193"/>
      <c r="AL60" s="195"/>
      <c r="AM60" s="195"/>
      <c r="AN60" s="195"/>
      <c r="AO60" s="195"/>
      <c r="AP60" s="195"/>
      <c r="AQ60" s="195"/>
      <c r="AR60" s="195"/>
      <c r="AS60" s="195"/>
      <c r="AT60" s="195"/>
      <c r="AU60" s="195"/>
      <c r="AV60" s="197"/>
      <c r="AW60" s="197"/>
      <c r="AX60" s="197"/>
      <c r="AY60" s="197"/>
      <c r="AZ60" s="197"/>
      <c r="BA60" s="197"/>
      <c r="BB60" s="197"/>
      <c r="BC60" s="197"/>
      <c r="BD60" s="197"/>
      <c r="BE60" s="197"/>
      <c r="BF60" s="198"/>
    </row>
    <row r="61" spans="1:58" s="6" customFormat="1" ht="28.8" x14ac:dyDescent="0.3">
      <c r="A61" s="7" t="s">
        <v>480</v>
      </c>
      <c r="B61" s="89" t="s">
        <v>467</v>
      </c>
      <c r="C61" s="227" t="s">
        <v>387</v>
      </c>
      <c r="D61" s="227"/>
      <c r="E61" s="227" t="s">
        <v>256</v>
      </c>
      <c r="F61" s="89" t="s">
        <v>44</v>
      </c>
      <c r="G61" s="89" t="s">
        <v>250</v>
      </c>
      <c r="H61" s="189"/>
      <c r="I61" s="189"/>
      <c r="J61" s="189"/>
      <c r="K61" s="189"/>
      <c r="L61" s="189"/>
      <c r="M61" s="189"/>
      <c r="N61" s="189"/>
      <c r="O61" s="189"/>
      <c r="P61" s="189"/>
      <c r="Q61" s="189"/>
      <c r="R61" s="190"/>
      <c r="S61" s="190"/>
      <c r="T61" s="190"/>
      <c r="U61" s="190"/>
      <c r="V61" s="190"/>
      <c r="W61" s="190"/>
      <c r="X61" s="190"/>
      <c r="Y61" s="190"/>
      <c r="Z61" s="190"/>
      <c r="AA61" s="190"/>
      <c r="AB61" s="193"/>
      <c r="AC61" s="193"/>
      <c r="AD61" s="193"/>
      <c r="AE61" s="193"/>
      <c r="AF61" s="193"/>
      <c r="AG61" s="193"/>
      <c r="AH61" s="193"/>
      <c r="AI61" s="193"/>
      <c r="AJ61" s="193"/>
      <c r="AK61" s="193"/>
      <c r="AL61" s="195"/>
      <c r="AM61" s="195"/>
      <c r="AN61" s="195"/>
      <c r="AO61" s="195"/>
      <c r="AP61" s="195"/>
      <c r="AQ61" s="195"/>
      <c r="AR61" s="195"/>
      <c r="AS61" s="195"/>
      <c r="AT61" s="195"/>
      <c r="AU61" s="195"/>
      <c r="AV61" s="197"/>
      <c r="AW61" s="197"/>
      <c r="AX61" s="197"/>
      <c r="AY61" s="197"/>
      <c r="AZ61" s="197"/>
      <c r="BA61" s="197"/>
      <c r="BB61" s="197"/>
      <c r="BC61" s="197"/>
      <c r="BD61" s="197"/>
      <c r="BE61" s="197"/>
      <c r="BF61" s="198"/>
    </row>
    <row r="62" spans="1:58" ht="28.8" x14ac:dyDescent="0.3">
      <c r="A62" s="7" t="s">
        <v>480</v>
      </c>
      <c r="B62" s="93" t="s">
        <v>467</v>
      </c>
      <c r="C62" s="228" t="s">
        <v>387</v>
      </c>
      <c r="D62" s="229" t="s">
        <v>469</v>
      </c>
      <c r="E62" s="229" t="s">
        <v>515</v>
      </c>
      <c r="F62" s="93" t="s">
        <v>341</v>
      </c>
      <c r="G62" s="93" t="s">
        <v>250</v>
      </c>
      <c r="H62" s="189">
        <f>HLOOKUP(H$2,'Baseline FRL'!$B$23:$O$28,5,FALSE)</f>
        <v>66475</v>
      </c>
      <c r="I62" s="189">
        <f>HLOOKUP(I$2,'Baseline FRL'!$B$23:$O$28,5,FALSE)</f>
        <v>25443</v>
      </c>
      <c r="J62" s="189">
        <f>HLOOKUP(J$2,'Baseline FRL'!$B$23:$O$28,5,FALSE)</f>
        <v>7258</v>
      </c>
      <c r="K62" s="189">
        <f>HLOOKUP(K$2,'Baseline FRL'!$B$23:$O$28,5,FALSE)</f>
        <v>500</v>
      </c>
      <c r="L62" s="189">
        <f>HLOOKUP(L$2,'Baseline FRL'!$B$23:$O$28,5,FALSE)</f>
        <v>215</v>
      </c>
      <c r="M62" s="189">
        <f>HLOOKUP(M$2,'Baseline FRL'!$B$23:$O$28,5,FALSE)</f>
        <v>3928</v>
      </c>
      <c r="N62" s="189">
        <f>HLOOKUP(N$2,'Baseline FRL'!$B$23:$O$28,5,FALSE)</f>
        <v>508</v>
      </c>
      <c r="O62" s="189">
        <f>HLOOKUP(O$2,'Baseline FRL'!$B$23:$O$28,5,FALSE)</f>
        <v>5</v>
      </c>
      <c r="P62" s="189">
        <f>HLOOKUP(P$2,'Baseline FRL'!$B$23:$O$28,5,FALSE)</f>
        <v>1786</v>
      </c>
      <c r="Q62" s="189">
        <f>HLOOKUP(Q$2,'Baseline FRL'!$B$23:$O$28,5,FALSE)</f>
        <v>528</v>
      </c>
      <c r="R62" s="191">
        <f>HLOOKUP(R$3,'Implementing Areas'!$B$53:$K$64,11,FALSE)</f>
        <v>4.1278769031227909E-2</v>
      </c>
      <c r="S62" s="191">
        <f>HLOOKUP(S$3,'Implementing Areas'!$B$53:$K$64,11,FALSE)</f>
        <v>4.9054990519105349E-2</v>
      </c>
      <c r="T62" s="191">
        <f>HLOOKUP(T$3,'Implementing Areas'!$B$53:$K$64,11,FALSE)</f>
        <v>4.9054990519105349E-2</v>
      </c>
      <c r="U62" s="191">
        <f>HLOOKUP(U$3,'Implementing Areas'!$B$53:$K$64,11,FALSE)</f>
        <v>4.1278769031227909E-2</v>
      </c>
      <c r="V62" s="191">
        <f>HLOOKUP(V$3,'Implementing Areas'!$B$53:$K$64,11,FALSE)</f>
        <v>0.30173505566504666</v>
      </c>
      <c r="W62" s="191">
        <f>HLOOKUP(W$3,'Implementing Areas'!$B$53:$K$64,11,FALSE)</f>
        <v>1.047412096026603E-2</v>
      </c>
      <c r="X62" s="191">
        <f>HLOOKUP(X$3,'Implementing Areas'!$B$53:$K$64,11,FALSE)</f>
        <v>0</v>
      </c>
      <c r="Y62" s="191">
        <f>HLOOKUP(Y$3,'Implementing Areas'!$B$53:$K$64,11,FALSE)</f>
        <v>1.047412096026603E-2</v>
      </c>
      <c r="Z62" s="191">
        <f>HLOOKUP(Z$3,'Implementing Areas'!$B$53:$K$64,11,FALSE)</f>
        <v>2.0318608039790124E-2</v>
      </c>
      <c r="AA62" s="191">
        <f>HLOOKUP(AA$3,'Implementing Areas'!$B$53:$K$64,11,FALSE)</f>
        <v>1.6680284035027977E-2</v>
      </c>
      <c r="AB62" s="193">
        <f>(VLOOKUP($F62,'ER Target'!$C$3:$D$10,2,FALSE))*'Program Activity-Rev'!R62*'ER Target'!$D$12</f>
        <v>1.8109723600443661E-2</v>
      </c>
      <c r="AC62" s="193">
        <f>(VLOOKUP($F62,'ER Target'!$C$3:$D$10,2,FALSE))*'Program Activity-Rev'!S62*'ER Target'!$D$12</f>
        <v>2.1521289039683266E-2</v>
      </c>
      <c r="AD62" s="193">
        <f>(VLOOKUP($F62,'ER Target'!$C$3:$D$10,2,FALSE))*'Program Activity-Rev'!T62*'ER Target'!$D$12</f>
        <v>2.1521289039683266E-2</v>
      </c>
      <c r="AE62" s="193">
        <f>(VLOOKUP($F62,'ER Target'!$C$3:$D$10,2,FALSE))*'Program Activity-Rev'!U62*'ER Target'!$D$12</f>
        <v>1.8109723600443661E-2</v>
      </c>
      <c r="AF62" s="193">
        <f>(VLOOKUP($F62,'ER Target'!$C$3:$D$10,2,FALSE))*'Program Activity-Rev'!V62*'ER Target'!$D$12</f>
        <v>0.1323764876448868</v>
      </c>
      <c r="AG62" s="193">
        <f>(VLOOKUP($F62,'ER Target'!$C$3:$D$10,2,FALSE))*'Program Activity-Rev'!W62*'ER Target'!$D$12</f>
        <v>4.5951814940153237E-3</v>
      </c>
      <c r="AH62" s="193">
        <f>(VLOOKUP($F62,'ER Target'!$C$3:$D$10,2,FALSE))*'Program Activity-Rev'!X62*'ER Target'!$D$12</f>
        <v>0</v>
      </c>
      <c r="AI62" s="193">
        <f>(VLOOKUP($F62,'ER Target'!$C$3:$D$10,2,FALSE))*'Program Activity-Rev'!Y62*'ER Target'!$D$12</f>
        <v>4.5951814940153237E-3</v>
      </c>
      <c r="AJ62" s="193">
        <f>(VLOOKUP($F62,'ER Target'!$C$3:$D$10,2,FALSE))*'Program Activity-Rev'!Z62*'ER Target'!$D$12</f>
        <v>8.9141315059075975E-3</v>
      </c>
      <c r="AK62" s="193">
        <f>(VLOOKUP($F62,'ER Target'!$C$3:$D$10,2,FALSE))*'Program Activity-Rev'!AA62*'ER Target'!$D$12</f>
        <v>7.3179346317891894E-3</v>
      </c>
      <c r="AL62" s="195">
        <f t="shared" si="1"/>
        <v>1203.8438763394925</v>
      </c>
      <c r="AM62" s="195">
        <f t="shared" si="3"/>
        <v>547.56615703666137</v>
      </c>
      <c r="AN62" s="195">
        <f t="shared" si="4"/>
        <v>156.20151585002114</v>
      </c>
      <c r="AO62" s="195">
        <f t="shared" si="5"/>
        <v>9.0548618002218308</v>
      </c>
      <c r="AP62" s="195">
        <f t="shared" si="6"/>
        <v>28.460944843650662</v>
      </c>
      <c r="AQ62" s="195">
        <f t="shared" si="7"/>
        <v>18.049872908492191</v>
      </c>
      <c r="AR62" s="195">
        <f t="shared" si="8"/>
        <v>0</v>
      </c>
      <c r="AS62" s="195">
        <f t="shared" si="9"/>
        <v>2.297590747007662E-2</v>
      </c>
      <c r="AT62" s="195">
        <f t="shared" si="10"/>
        <v>15.920638869550968</v>
      </c>
      <c r="AU62" s="195">
        <f t="shared" si="11"/>
        <v>3.8638694855846922</v>
      </c>
      <c r="AV62" s="197">
        <f>HLOOKUP(AV$2,'Baseline FRL'!$B$23:$O$28,6,FALSE)*'Program Activity-Rev'!AL62</f>
        <v>447925.28780277108</v>
      </c>
      <c r="AW62" s="197">
        <f>HLOOKUP(AW$2,'Baseline FRL'!$B$23:$O$28,6,FALSE)*'Program Activity-Rev'!AM62</f>
        <v>20653.077197244362</v>
      </c>
      <c r="AX62" s="197">
        <f>HLOOKUP(AX$2,'Baseline FRL'!$B$23:$O$28,6,FALSE)*'Program Activity-Rev'!AN62</f>
        <v>79508.637611408572</v>
      </c>
      <c r="AY62" s="197">
        <f>HLOOKUP(AY$2,'Baseline FRL'!$B$23:$O$28,6,FALSE)*'Program Activity-Rev'!AO62</f>
        <v>455.71308468156434</v>
      </c>
      <c r="AZ62" s="197">
        <f>HLOOKUP(AZ$2,'Baseline FRL'!$B$23:$O$28,6,FALSE)*'Program Activity-Rev'!AP62</f>
        <v>1388.8941083701523</v>
      </c>
      <c r="BA62" s="197">
        <f>HLOOKUP(BA$2,'Baseline FRL'!$B$23:$O$28,6,FALSE)*'Program Activity-Rev'!AQ62</f>
        <v>3752.4252080129131</v>
      </c>
      <c r="BB62" s="197">
        <f>HLOOKUP(BB$2,'Baseline FRL'!$B$23:$O$28,6,FALSE)*'Program Activity-Rev'!AR62</f>
        <v>0</v>
      </c>
      <c r="BC62" s="197">
        <f>HLOOKUP(BC$2,'Baseline FRL'!$B$23:$O$28,6,FALSE)*'Program Activity-Rev'!AS62</f>
        <v>0.95120256926117208</v>
      </c>
      <c r="BD62" s="197">
        <f>HLOOKUP(BD$2,'Baseline FRL'!$B$23:$O$28,6,FALSE)*'Program Activity-Rev'!AT62</f>
        <v>5702.8869439564323</v>
      </c>
      <c r="BE62" s="197">
        <f>HLOOKUP(BE$2,'Baseline FRL'!$B$23:$O$28,6,FALSE)*'Program Activity-Rev'!AU62</f>
        <v>161.5068173235874</v>
      </c>
      <c r="BF62" s="198">
        <f t="shared" si="2"/>
        <v>559549.37997633812</v>
      </c>
    </row>
    <row r="63" spans="1:58" ht="28.8" x14ac:dyDescent="0.3">
      <c r="A63" s="7" t="s">
        <v>480</v>
      </c>
      <c r="B63" s="93" t="s">
        <v>467</v>
      </c>
      <c r="C63" s="228" t="s">
        <v>387</v>
      </c>
      <c r="D63" s="229" t="s">
        <v>470</v>
      </c>
      <c r="E63" s="229" t="s">
        <v>139</v>
      </c>
      <c r="F63" s="93" t="s">
        <v>44</v>
      </c>
      <c r="G63" s="93" t="s">
        <v>250</v>
      </c>
      <c r="H63" s="189">
        <f>HLOOKUP(H$2,'Baseline FRL'!$B$23:$O$28,5,FALSE)</f>
        <v>66475</v>
      </c>
      <c r="I63" s="189">
        <f>HLOOKUP(I$2,'Baseline FRL'!$B$23:$O$28,5,FALSE)</f>
        <v>25443</v>
      </c>
      <c r="J63" s="189">
        <f>HLOOKUP(J$2,'Baseline FRL'!$B$23:$O$28,5,FALSE)</f>
        <v>7258</v>
      </c>
      <c r="K63" s="189">
        <f>HLOOKUP(K$2,'Baseline FRL'!$B$23:$O$28,5,FALSE)</f>
        <v>500</v>
      </c>
      <c r="L63" s="189">
        <f>HLOOKUP(L$2,'Baseline FRL'!$B$23:$O$28,5,FALSE)</f>
        <v>215</v>
      </c>
      <c r="M63" s="189">
        <f>HLOOKUP(M$2,'Baseline FRL'!$B$23:$O$28,5,FALSE)</f>
        <v>3928</v>
      </c>
      <c r="N63" s="189">
        <f>HLOOKUP(N$2,'Baseline FRL'!$B$23:$O$28,5,FALSE)</f>
        <v>508</v>
      </c>
      <c r="O63" s="189">
        <f>HLOOKUP(O$2,'Baseline FRL'!$B$23:$O$28,5,FALSE)</f>
        <v>5</v>
      </c>
      <c r="P63" s="189">
        <f>HLOOKUP(P$2,'Baseline FRL'!$B$23:$O$28,5,FALSE)</f>
        <v>1786</v>
      </c>
      <c r="Q63" s="189">
        <f>HLOOKUP(Q$2,'Baseline FRL'!$B$23:$O$28,5,FALSE)</f>
        <v>528</v>
      </c>
      <c r="R63" s="191">
        <f>HLOOKUP(R$3,'Implementing Areas'!$B$53:$K$64,11,FALSE)</f>
        <v>4.1278769031227909E-2</v>
      </c>
      <c r="S63" s="191">
        <f>HLOOKUP(S$3,'Implementing Areas'!$B$53:$K$64,11,FALSE)</f>
        <v>4.9054990519105349E-2</v>
      </c>
      <c r="T63" s="191">
        <f>HLOOKUP(T$3,'Implementing Areas'!$B$53:$K$64,11,FALSE)</f>
        <v>4.9054990519105349E-2</v>
      </c>
      <c r="U63" s="191">
        <f>HLOOKUP(U$3,'Implementing Areas'!$B$53:$K$64,11,FALSE)</f>
        <v>4.1278769031227909E-2</v>
      </c>
      <c r="V63" s="191">
        <f>HLOOKUP(V$3,'Implementing Areas'!$B$53:$K$64,11,FALSE)</f>
        <v>0.30173505566504666</v>
      </c>
      <c r="W63" s="191">
        <f>HLOOKUP(W$3,'Implementing Areas'!$B$53:$K$64,11,FALSE)</f>
        <v>1.047412096026603E-2</v>
      </c>
      <c r="X63" s="191">
        <f>HLOOKUP(X$3,'Implementing Areas'!$B$53:$K$64,11,FALSE)</f>
        <v>0</v>
      </c>
      <c r="Y63" s="191">
        <f>HLOOKUP(Y$3,'Implementing Areas'!$B$53:$K$64,11,FALSE)</f>
        <v>1.047412096026603E-2</v>
      </c>
      <c r="Z63" s="191">
        <f>HLOOKUP(Z$3,'Implementing Areas'!$B$53:$K$64,11,FALSE)</f>
        <v>2.0318608039790124E-2</v>
      </c>
      <c r="AA63" s="191">
        <f>HLOOKUP(AA$3,'Implementing Areas'!$B$53:$K$64,11,FALSE)</f>
        <v>1.6680284035027977E-2</v>
      </c>
      <c r="AB63" s="193">
        <f>(VLOOKUP($F63,'ER Target'!$C$3:$D$10,2,FALSE))*'Program Activity-Rev'!R63*'ER Target'!$D$12</f>
        <v>1.444756916092977E-3</v>
      </c>
      <c r="AC63" s="193">
        <f>(VLOOKUP($F63,'ER Target'!$C$3:$D$10,2,FALSE))*'Program Activity-Rev'!S63*'ER Target'!$D$12</f>
        <v>1.7169246681686874E-3</v>
      </c>
      <c r="AD63" s="193">
        <f>(VLOOKUP($F63,'ER Target'!$C$3:$D$10,2,FALSE))*'Program Activity-Rev'!T63*'ER Target'!$D$12</f>
        <v>1.7169246681686874E-3</v>
      </c>
      <c r="AE63" s="193">
        <f>(VLOOKUP($F63,'ER Target'!$C$3:$D$10,2,FALSE))*'Program Activity-Rev'!U63*'ER Target'!$D$12</f>
        <v>1.444756916092977E-3</v>
      </c>
      <c r="AF63" s="193">
        <f>(VLOOKUP($F63,'ER Target'!$C$3:$D$10,2,FALSE))*'Program Activity-Rev'!V63*'ER Target'!$D$12</f>
        <v>1.0560726948276634E-2</v>
      </c>
      <c r="AG63" s="193">
        <f>(VLOOKUP($F63,'ER Target'!$C$3:$D$10,2,FALSE))*'Program Activity-Rev'!W63*'ER Target'!$D$12</f>
        <v>3.6659423360931107E-4</v>
      </c>
      <c r="AH63" s="193">
        <f>(VLOOKUP($F63,'ER Target'!$C$3:$D$10,2,FALSE))*'Program Activity-Rev'!X63*'ER Target'!$D$12</f>
        <v>0</v>
      </c>
      <c r="AI63" s="193">
        <f>(VLOOKUP($F63,'ER Target'!$C$3:$D$10,2,FALSE))*'Program Activity-Rev'!Y63*'ER Target'!$D$12</f>
        <v>3.6659423360931107E-4</v>
      </c>
      <c r="AJ63" s="193">
        <f>(VLOOKUP($F63,'ER Target'!$C$3:$D$10,2,FALSE))*'Program Activity-Rev'!Z63*'ER Target'!$D$12</f>
        <v>7.1115128139265444E-4</v>
      </c>
      <c r="AK63" s="193">
        <f>(VLOOKUP($F63,'ER Target'!$C$3:$D$10,2,FALSE))*'Program Activity-Rev'!AA63*'ER Target'!$D$12</f>
        <v>5.8380994122597923E-4</v>
      </c>
      <c r="AL63" s="195">
        <f t="shared" si="1"/>
        <v>96.040215997280654</v>
      </c>
      <c r="AM63" s="195">
        <f t="shared" si="3"/>
        <v>43.683714332215914</v>
      </c>
      <c r="AN63" s="195">
        <f t="shared" si="4"/>
        <v>12.461439241568334</v>
      </c>
      <c r="AO63" s="195">
        <f t="shared" si="5"/>
        <v>0.72237845804648848</v>
      </c>
      <c r="AP63" s="195">
        <f t="shared" si="6"/>
        <v>2.2705562938794763</v>
      </c>
      <c r="AQ63" s="195">
        <f t="shared" si="7"/>
        <v>1.4399821496173739</v>
      </c>
      <c r="AR63" s="195">
        <f t="shared" si="8"/>
        <v>0</v>
      </c>
      <c r="AS63" s="195">
        <f t="shared" si="9"/>
        <v>1.8329711680465555E-3</v>
      </c>
      <c r="AT63" s="195">
        <f t="shared" si="10"/>
        <v>1.2701161885672809</v>
      </c>
      <c r="AU63" s="195">
        <f t="shared" si="11"/>
        <v>0.30825164896731705</v>
      </c>
      <c r="AV63" s="197">
        <f>HLOOKUP(AV$2,'Baseline FRL'!$B$23:$O$28,6,FALSE)*'Program Activity-Rev'!AL63</f>
        <v>35734.568440908544</v>
      </c>
      <c r="AW63" s="197">
        <f>HLOOKUP(AW$2,'Baseline FRL'!$B$23:$O$28,6,FALSE)*'Program Activity-Rev'!AM63</f>
        <v>1647.6604932054261</v>
      </c>
      <c r="AX63" s="197">
        <f>HLOOKUP(AX$2,'Baseline FRL'!$B$23:$O$28,6,FALSE)*'Program Activity-Rev'!AN63</f>
        <v>6343.0373987264265</v>
      </c>
      <c r="AY63" s="197">
        <f>HLOOKUP(AY$2,'Baseline FRL'!$B$23:$O$28,6,FALSE)*'Program Activity-Rev'!AO63</f>
        <v>36.355863036563676</v>
      </c>
      <c r="AZ63" s="197">
        <f>HLOOKUP(AZ$2,'Baseline FRL'!$B$23:$O$28,6,FALSE)*'Program Activity-Rev'!AP63</f>
        <v>110.80314714131843</v>
      </c>
      <c r="BA63" s="197">
        <f>HLOOKUP(BA$2,'Baseline FRL'!$B$23:$O$28,6,FALSE)*'Program Activity-Rev'!AQ63</f>
        <v>299.36085116536344</v>
      </c>
      <c r="BB63" s="197">
        <f>HLOOKUP(BB$2,'Baseline FRL'!$B$23:$O$28,6,FALSE)*'Program Activity-Rev'!AR63</f>
        <v>0</v>
      </c>
      <c r="BC63" s="197">
        <f>HLOOKUP(BC$2,'Baseline FRL'!$B$23:$O$28,6,FALSE)*'Program Activity-Rev'!AS63</f>
        <v>7.5885006357127388E-2</v>
      </c>
      <c r="BD63" s="197">
        <f>HLOOKUP(BD$2,'Baseline FRL'!$B$23:$O$28,6,FALSE)*'Program Activity-Rev'!AT63</f>
        <v>454.96472148120188</v>
      </c>
      <c r="BE63" s="197">
        <f>HLOOKUP(BE$2,'Baseline FRL'!$B$23:$O$28,6,FALSE)*'Program Activity-Rev'!AU63</f>
        <v>12.884685402857361</v>
      </c>
      <c r="BF63" s="198">
        <f t="shared" si="2"/>
        <v>44639.711486074062</v>
      </c>
    </row>
    <row r="64" spans="1:58" x14ac:dyDescent="0.3">
      <c r="A64" s="7" t="s">
        <v>480</v>
      </c>
      <c r="B64" s="93" t="s">
        <v>467</v>
      </c>
      <c r="C64" s="228" t="s">
        <v>387</v>
      </c>
      <c r="D64" s="229" t="s">
        <v>471</v>
      </c>
      <c r="E64" s="229" t="s">
        <v>140</v>
      </c>
      <c r="F64" s="93" t="s">
        <v>44</v>
      </c>
      <c r="G64" s="93" t="s">
        <v>250</v>
      </c>
      <c r="H64" s="189">
        <f>HLOOKUP(H$2,'Baseline FRL'!$B$23:$O$28,5,FALSE)</f>
        <v>66475</v>
      </c>
      <c r="I64" s="189">
        <f>HLOOKUP(I$2,'Baseline FRL'!$B$23:$O$28,5,FALSE)</f>
        <v>25443</v>
      </c>
      <c r="J64" s="189">
        <f>HLOOKUP(J$2,'Baseline FRL'!$B$23:$O$28,5,FALSE)</f>
        <v>7258</v>
      </c>
      <c r="K64" s="189">
        <f>HLOOKUP(K$2,'Baseline FRL'!$B$23:$O$28,5,FALSE)</f>
        <v>500</v>
      </c>
      <c r="L64" s="189">
        <f>HLOOKUP(L$2,'Baseline FRL'!$B$23:$O$28,5,FALSE)</f>
        <v>215</v>
      </c>
      <c r="M64" s="189">
        <f>HLOOKUP(M$2,'Baseline FRL'!$B$23:$O$28,5,FALSE)</f>
        <v>3928</v>
      </c>
      <c r="N64" s="189">
        <f>HLOOKUP(N$2,'Baseline FRL'!$B$23:$O$28,5,FALSE)</f>
        <v>508</v>
      </c>
      <c r="O64" s="189">
        <f>HLOOKUP(O$2,'Baseline FRL'!$B$23:$O$28,5,FALSE)</f>
        <v>5</v>
      </c>
      <c r="P64" s="189">
        <f>HLOOKUP(P$2,'Baseline FRL'!$B$23:$O$28,5,FALSE)</f>
        <v>1786</v>
      </c>
      <c r="Q64" s="189">
        <f>HLOOKUP(Q$2,'Baseline FRL'!$B$23:$O$28,5,FALSE)</f>
        <v>528</v>
      </c>
      <c r="R64" s="191">
        <f>HLOOKUP(R$3,'Implementing Areas'!$B$53:$K$64,11,FALSE)</f>
        <v>4.1278769031227909E-2</v>
      </c>
      <c r="S64" s="191">
        <f>HLOOKUP(S$3,'Implementing Areas'!$B$53:$K$64,11,FALSE)</f>
        <v>4.9054990519105349E-2</v>
      </c>
      <c r="T64" s="191">
        <f>HLOOKUP(T$3,'Implementing Areas'!$B$53:$K$64,11,FALSE)</f>
        <v>4.9054990519105349E-2</v>
      </c>
      <c r="U64" s="191">
        <f>HLOOKUP(U$3,'Implementing Areas'!$B$53:$K$64,11,FALSE)</f>
        <v>4.1278769031227909E-2</v>
      </c>
      <c r="V64" s="191">
        <f>HLOOKUP(V$3,'Implementing Areas'!$B$53:$K$64,11,FALSE)</f>
        <v>0.30173505566504666</v>
      </c>
      <c r="W64" s="191">
        <f>HLOOKUP(W$3,'Implementing Areas'!$B$53:$K$64,11,FALSE)</f>
        <v>1.047412096026603E-2</v>
      </c>
      <c r="X64" s="191">
        <f>HLOOKUP(X$3,'Implementing Areas'!$B$53:$K$64,11,FALSE)</f>
        <v>0</v>
      </c>
      <c r="Y64" s="191">
        <f>HLOOKUP(Y$3,'Implementing Areas'!$B$53:$K$64,11,FALSE)</f>
        <v>1.047412096026603E-2</v>
      </c>
      <c r="Z64" s="191">
        <f>HLOOKUP(Z$3,'Implementing Areas'!$B$53:$K$64,11,FALSE)</f>
        <v>2.0318608039790124E-2</v>
      </c>
      <c r="AA64" s="191">
        <f>HLOOKUP(AA$3,'Implementing Areas'!$B$53:$K$64,11,FALSE)</f>
        <v>1.6680284035027977E-2</v>
      </c>
      <c r="AB64" s="193">
        <f>(VLOOKUP($F64,'ER Target'!$C$3:$D$10,2,FALSE))*'Program Activity-Rev'!R64*'ER Target'!$D$12</f>
        <v>1.444756916092977E-3</v>
      </c>
      <c r="AC64" s="193">
        <f>(VLOOKUP($F64,'ER Target'!$C$3:$D$10,2,FALSE))*'Program Activity-Rev'!S64*'ER Target'!$D$12</f>
        <v>1.7169246681686874E-3</v>
      </c>
      <c r="AD64" s="193">
        <f>(VLOOKUP($F64,'ER Target'!$C$3:$D$10,2,FALSE))*'Program Activity-Rev'!T64*'ER Target'!$D$12</f>
        <v>1.7169246681686874E-3</v>
      </c>
      <c r="AE64" s="193">
        <f>(VLOOKUP($F64,'ER Target'!$C$3:$D$10,2,FALSE))*'Program Activity-Rev'!U64*'ER Target'!$D$12</f>
        <v>1.444756916092977E-3</v>
      </c>
      <c r="AF64" s="193">
        <f>(VLOOKUP($F64,'ER Target'!$C$3:$D$10,2,FALSE))*'Program Activity-Rev'!V64*'ER Target'!$D$12</f>
        <v>1.0560726948276634E-2</v>
      </c>
      <c r="AG64" s="193">
        <f>(VLOOKUP($F64,'ER Target'!$C$3:$D$10,2,FALSE))*'Program Activity-Rev'!W64*'ER Target'!$D$12</f>
        <v>3.6659423360931107E-4</v>
      </c>
      <c r="AH64" s="193">
        <f>(VLOOKUP($F64,'ER Target'!$C$3:$D$10,2,FALSE))*'Program Activity-Rev'!X64*'ER Target'!$D$12</f>
        <v>0</v>
      </c>
      <c r="AI64" s="193">
        <f>(VLOOKUP($F64,'ER Target'!$C$3:$D$10,2,FALSE))*'Program Activity-Rev'!Y64*'ER Target'!$D$12</f>
        <v>3.6659423360931107E-4</v>
      </c>
      <c r="AJ64" s="193">
        <f>(VLOOKUP($F64,'ER Target'!$C$3:$D$10,2,FALSE))*'Program Activity-Rev'!Z64*'ER Target'!$D$12</f>
        <v>7.1115128139265444E-4</v>
      </c>
      <c r="AK64" s="193">
        <f>(VLOOKUP($F64,'ER Target'!$C$3:$D$10,2,FALSE))*'Program Activity-Rev'!AA64*'ER Target'!$D$12</f>
        <v>5.8380994122597923E-4</v>
      </c>
      <c r="AL64" s="195">
        <f t="shared" si="1"/>
        <v>96.040215997280654</v>
      </c>
      <c r="AM64" s="195">
        <f t="shared" si="3"/>
        <v>43.683714332215914</v>
      </c>
      <c r="AN64" s="195">
        <f t="shared" si="4"/>
        <v>12.461439241568334</v>
      </c>
      <c r="AO64" s="195">
        <f t="shared" si="5"/>
        <v>0.72237845804648848</v>
      </c>
      <c r="AP64" s="195">
        <f t="shared" si="6"/>
        <v>2.2705562938794763</v>
      </c>
      <c r="AQ64" s="195">
        <f t="shared" si="7"/>
        <v>1.4399821496173739</v>
      </c>
      <c r="AR64" s="195">
        <f t="shared" si="8"/>
        <v>0</v>
      </c>
      <c r="AS64" s="195">
        <f t="shared" si="9"/>
        <v>1.8329711680465555E-3</v>
      </c>
      <c r="AT64" s="195">
        <f t="shared" si="10"/>
        <v>1.2701161885672809</v>
      </c>
      <c r="AU64" s="195">
        <f t="shared" si="11"/>
        <v>0.30825164896731705</v>
      </c>
      <c r="AV64" s="197">
        <f>HLOOKUP(AV$2,'Baseline FRL'!$B$23:$O$28,6,FALSE)*'Program Activity-Rev'!AL64</f>
        <v>35734.568440908544</v>
      </c>
      <c r="AW64" s="197">
        <f>HLOOKUP(AW$2,'Baseline FRL'!$B$23:$O$28,6,FALSE)*'Program Activity-Rev'!AM64</f>
        <v>1647.6604932054261</v>
      </c>
      <c r="AX64" s="197">
        <f>HLOOKUP(AX$2,'Baseline FRL'!$B$23:$O$28,6,FALSE)*'Program Activity-Rev'!AN64</f>
        <v>6343.0373987264265</v>
      </c>
      <c r="AY64" s="197">
        <f>HLOOKUP(AY$2,'Baseline FRL'!$B$23:$O$28,6,FALSE)*'Program Activity-Rev'!AO64</f>
        <v>36.355863036563676</v>
      </c>
      <c r="AZ64" s="197">
        <f>HLOOKUP(AZ$2,'Baseline FRL'!$B$23:$O$28,6,FALSE)*'Program Activity-Rev'!AP64</f>
        <v>110.80314714131843</v>
      </c>
      <c r="BA64" s="197">
        <f>HLOOKUP(BA$2,'Baseline FRL'!$B$23:$O$28,6,FALSE)*'Program Activity-Rev'!AQ64</f>
        <v>299.36085116536344</v>
      </c>
      <c r="BB64" s="197">
        <f>HLOOKUP(BB$2,'Baseline FRL'!$B$23:$O$28,6,FALSE)*'Program Activity-Rev'!AR64</f>
        <v>0</v>
      </c>
      <c r="BC64" s="197">
        <f>HLOOKUP(BC$2,'Baseline FRL'!$B$23:$O$28,6,FALSE)*'Program Activity-Rev'!AS64</f>
        <v>7.5885006357127388E-2</v>
      </c>
      <c r="BD64" s="197">
        <f>HLOOKUP(BD$2,'Baseline FRL'!$B$23:$O$28,6,FALSE)*'Program Activity-Rev'!AT64</f>
        <v>454.96472148120188</v>
      </c>
      <c r="BE64" s="197">
        <f>HLOOKUP(BE$2,'Baseline FRL'!$B$23:$O$28,6,FALSE)*'Program Activity-Rev'!AU64</f>
        <v>12.884685402857361</v>
      </c>
      <c r="BF64" s="198">
        <f t="shared" si="2"/>
        <v>44639.711486074062</v>
      </c>
    </row>
    <row r="65" spans="1:58" x14ac:dyDescent="0.3">
      <c r="A65" s="7" t="s">
        <v>480</v>
      </c>
      <c r="B65" s="93" t="s">
        <v>467</v>
      </c>
      <c r="C65" s="228" t="s">
        <v>387</v>
      </c>
      <c r="D65" s="229" t="s">
        <v>472</v>
      </c>
      <c r="E65" s="229" t="s">
        <v>332</v>
      </c>
      <c r="F65" s="93" t="s">
        <v>342</v>
      </c>
      <c r="G65" s="93" t="s">
        <v>252</v>
      </c>
      <c r="H65" s="189">
        <f>HLOOKUP(H$2,'Baseline FRL'!$B$23:$O$28,5,FALSE)</f>
        <v>66475</v>
      </c>
      <c r="I65" s="189">
        <f>HLOOKUP(I$2,'Baseline FRL'!$B$23:$O$28,5,FALSE)</f>
        <v>25443</v>
      </c>
      <c r="J65" s="189">
        <f>HLOOKUP(J$2,'Baseline FRL'!$B$23:$O$28,5,FALSE)</f>
        <v>7258</v>
      </c>
      <c r="K65" s="189">
        <f>HLOOKUP(K$2,'Baseline FRL'!$B$23:$O$28,5,FALSE)</f>
        <v>500</v>
      </c>
      <c r="L65" s="189">
        <f>HLOOKUP(L$2,'Baseline FRL'!$B$23:$O$28,5,FALSE)</f>
        <v>215</v>
      </c>
      <c r="M65" s="189">
        <f>HLOOKUP(M$2,'Baseline FRL'!$B$23:$O$28,5,FALSE)</f>
        <v>3928</v>
      </c>
      <c r="N65" s="189">
        <f>HLOOKUP(N$2,'Baseline FRL'!$B$23:$O$28,5,FALSE)</f>
        <v>508</v>
      </c>
      <c r="O65" s="189">
        <f>HLOOKUP(O$2,'Baseline FRL'!$B$23:$O$28,5,FALSE)</f>
        <v>5</v>
      </c>
      <c r="P65" s="189">
        <f>HLOOKUP(P$2,'Baseline FRL'!$B$23:$O$28,5,FALSE)</f>
        <v>1786</v>
      </c>
      <c r="Q65" s="189">
        <f>HLOOKUP(Q$2,'Baseline FRL'!$B$23:$O$28,5,FALSE)</f>
        <v>528</v>
      </c>
      <c r="R65" s="191">
        <f>HLOOKUP(R$3,'Implementing Areas'!$B$53:$K$64,8,FALSE)</f>
        <v>0.69570923014441111</v>
      </c>
      <c r="S65" s="191">
        <f>HLOOKUP(S$3,'Implementing Areas'!$B$53:$K$64,8,FALSE)</f>
        <v>0.55195016569647226</v>
      </c>
      <c r="T65" s="191">
        <f>HLOOKUP(T$3,'Implementing Areas'!$B$53:$K$64,8,FALSE)</f>
        <v>0.55195016569647226</v>
      </c>
      <c r="U65" s="191">
        <f>HLOOKUP(U$3,'Implementing Areas'!$B$53:$K$64,8,FALSE)</f>
        <v>0.69570923014441111</v>
      </c>
      <c r="V65" s="191">
        <f>HLOOKUP(V$3,'Implementing Areas'!$B$53:$K$64,8,FALSE)</f>
        <v>0.63961834455866451</v>
      </c>
      <c r="W65" s="191">
        <f>HLOOKUP(W$3,'Implementing Areas'!$B$53:$K$64,8,FALSE)</f>
        <v>0.85291267082773314</v>
      </c>
      <c r="X65" s="191">
        <f>HLOOKUP(X$3,'Implementing Areas'!$B$53:$K$64,8,FALSE)</f>
        <v>0</v>
      </c>
      <c r="Y65" s="191">
        <f>HLOOKUP(Y$3,'Implementing Areas'!$B$53:$K$64,8,FALSE)</f>
        <v>0.85291267082773314</v>
      </c>
      <c r="Z65" s="191">
        <f>HLOOKUP(Z$3,'Implementing Areas'!$B$53:$K$64,8,FALSE)</f>
        <v>0.19276739080959265</v>
      </c>
      <c r="AA65" s="191">
        <f>HLOOKUP(AA$3,'Implementing Areas'!$B$53:$K$64,8,FALSE)</f>
        <v>0.23775707599687529</v>
      </c>
      <c r="AB65" s="193">
        <f>(VLOOKUP($F65,'ER Target'!$C$3:$D$10,2,FALSE))*'Program Activity-Rev'!R65*'ER Target'!$D$12</f>
        <v>9.8334421685792716E-3</v>
      </c>
      <c r="AC65" s="193">
        <f>(VLOOKUP($F65,'ER Target'!$C$3:$D$10,2,FALSE))*'Program Activity-Rev'!S65*'ER Target'!$D$12</f>
        <v>7.8014920589559878E-3</v>
      </c>
      <c r="AD65" s="193">
        <f>(VLOOKUP($F65,'ER Target'!$C$3:$D$10,2,FALSE))*'Program Activity-Rev'!T65*'ER Target'!$D$12</f>
        <v>7.8014920589559878E-3</v>
      </c>
      <c r="AE65" s="193">
        <f>(VLOOKUP($F65,'ER Target'!$C$3:$D$10,2,FALSE))*'Program Activity-Rev'!U65*'ER Target'!$D$12</f>
        <v>9.8334421685792716E-3</v>
      </c>
      <c r="AF65" s="193">
        <f>(VLOOKUP($F65,'ER Target'!$C$3:$D$10,2,FALSE))*'Program Activity-Rev'!V65*'ER Target'!$D$12</f>
        <v>9.0406303792670267E-3</v>
      </c>
      <c r="AG65" s="193">
        <f>(VLOOKUP($F65,'ER Target'!$C$3:$D$10,2,FALSE))*'Program Activity-Rev'!W65*'ER Target'!$D$12</f>
        <v>1.2055420655684081E-2</v>
      </c>
      <c r="AH65" s="193">
        <f>(VLOOKUP($F65,'ER Target'!$C$3:$D$10,2,FALSE))*'Program Activity-Rev'!X65*'ER Target'!$D$12</f>
        <v>0</v>
      </c>
      <c r="AI65" s="193">
        <f>(VLOOKUP($F65,'ER Target'!$C$3:$D$10,2,FALSE))*'Program Activity-Rev'!Y65*'ER Target'!$D$12</f>
        <v>1.2055420655684081E-2</v>
      </c>
      <c r="AJ65" s="193">
        <f>(VLOOKUP($F65,'ER Target'!$C$3:$D$10,2,FALSE))*'Program Activity-Rev'!Z65*'ER Target'!$D$12</f>
        <v>2.7246540758422574E-3</v>
      </c>
      <c r="AK65" s="193">
        <f>(VLOOKUP($F65,'ER Target'!$C$3:$D$10,2,FALSE))*'Program Activity-Rev'!AA65*'ER Target'!$D$12</f>
        <v>3.3605569046431631E-3</v>
      </c>
      <c r="AL65" s="195">
        <f t="shared" si="1"/>
        <v>653.67806815630706</v>
      </c>
      <c r="AM65" s="195">
        <f t="shared" si="3"/>
        <v>198.49336245601719</v>
      </c>
      <c r="AN65" s="195">
        <f t="shared" si="4"/>
        <v>56.62322936390256</v>
      </c>
      <c r="AO65" s="195">
        <f t="shared" si="5"/>
        <v>4.9167210842896356</v>
      </c>
      <c r="AP65" s="195">
        <f t="shared" si="6"/>
        <v>1.9437355315424107</v>
      </c>
      <c r="AQ65" s="195">
        <f t="shared" si="7"/>
        <v>47.353692335527072</v>
      </c>
      <c r="AR65" s="195">
        <f t="shared" si="8"/>
        <v>0</v>
      </c>
      <c r="AS65" s="195">
        <f t="shared" si="9"/>
        <v>6.0277103278420403E-2</v>
      </c>
      <c r="AT65" s="195">
        <f t="shared" si="10"/>
        <v>4.866232179454272</v>
      </c>
      <c r="AU65" s="195">
        <f t="shared" si="11"/>
        <v>1.7743740456515902</v>
      </c>
      <c r="AV65" s="197">
        <f>HLOOKUP(AV$2,'Baseline FRL'!$B$23:$O$28,6,FALSE)*'Program Activity-Rev'!AL65</f>
        <v>243220.02426060595</v>
      </c>
      <c r="AW65" s="197">
        <f>HLOOKUP(AW$2,'Baseline FRL'!$B$23:$O$28,6,FALSE)*'Program Activity-Rev'!AM65</f>
        <v>7486.7642663135848</v>
      </c>
      <c r="AX65" s="197">
        <f>HLOOKUP(AX$2,'Baseline FRL'!$B$23:$O$28,6,FALSE)*'Program Activity-Rev'!AN65</f>
        <v>28821.972689464063</v>
      </c>
      <c r="AY65" s="197">
        <f>HLOOKUP(AY$2,'Baseline FRL'!$B$23:$O$28,6,FALSE)*'Program Activity-Rev'!AO65</f>
        <v>247.44873873012881</v>
      </c>
      <c r="AZ65" s="197">
        <f>HLOOKUP(AZ$2,'Baseline FRL'!$B$23:$O$28,6,FALSE)*'Program Activity-Rev'!AP65</f>
        <v>94.854293939269638</v>
      </c>
      <c r="BA65" s="197">
        <f>HLOOKUP(BA$2,'Baseline FRL'!$B$23:$O$28,6,FALSE)*'Program Activity-Rev'!AQ65</f>
        <v>9844.4565074316215</v>
      </c>
      <c r="BB65" s="197">
        <f>HLOOKUP(BB$2,'Baseline FRL'!$B$23:$O$28,6,FALSE)*'Program Activity-Rev'!AR65</f>
        <v>0</v>
      </c>
      <c r="BC65" s="197">
        <f>HLOOKUP(BC$2,'Baseline FRL'!$B$23:$O$28,6,FALSE)*'Program Activity-Rev'!AS65</f>
        <v>2.4954720757266045</v>
      </c>
      <c r="BD65" s="197">
        <f>HLOOKUP(BD$2,'Baseline FRL'!$B$23:$O$28,6,FALSE)*'Program Activity-Rev'!AT65</f>
        <v>1743.119242252691</v>
      </c>
      <c r="BE65" s="197">
        <f>HLOOKUP(BE$2,'Baseline FRL'!$B$23:$O$28,6,FALSE)*'Program Activity-Rev'!AU65</f>
        <v>74.167490885474606</v>
      </c>
      <c r="BF65" s="198">
        <f t="shared" si="2"/>
        <v>291535.30296169844</v>
      </c>
    </row>
    <row r="66" spans="1:58" x14ac:dyDescent="0.3">
      <c r="A66" s="7" t="s">
        <v>480</v>
      </c>
      <c r="B66" s="93" t="s">
        <v>467</v>
      </c>
      <c r="C66" s="228" t="s">
        <v>387</v>
      </c>
      <c r="D66" s="229" t="s">
        <v>473</v>
      </c>
      <c r="E66" s="229" t="s">
        <v>141</v>
      </c>
      <c r="F66" s="93" t="s">
        <v>47</v>
      </c>
      <c r="G66" s="93" t="s">
        <v>251</v>
      </c>
      <c r="H66" s="96">
        <f>HLOOKUP(H$2,'Baseline FRL'!$B$23:$O$28,5,FALSE)</f>
        <v>66475</v>
      </c>
      <c r="I66" s="96">
        <f>HLOOKUP(I$2,'Baseline FRL'!$B$23:$O$28,5,FALSE)</f>
        <v>25443</v>
      </c>
      <c r="J66" s="96">
        <f>HLOOKUP(J$2,'Baseline FRL'!$B$23:$O$28,5,FALSE)</f>
        <v>7258</v>
      </c>
      <c r="K66" s="96">
        <f>HLOOKUP(K$2,'Baseline FRL'!$B$23:$O$28,5,FALSE)</f>
        <v>500</v>
      </c>
      <c r="L66" s="96">
        <f>HLOOKUP(L$2,'Baseline FRL'!$B$23:$O$28,5,FALSE)</f>
        <v>215</v>
      </c>
      <c r="M66" s="96">
        <f>HLOOKUP(M$2,'Baseline FRL'!$B$23:$O$28,5,FALSE)</f>
        <v>3928</v>
      </c>
      <c r="N66" s="96">
        <f>HLOOKUP(N$2,'Baseline FRL'!$B$23:$O$28,5,FALSE)</f>
        <v>508</v>
      </c>
      <c r="O66" s="96">
        <f>HLOOKUP(O$2,'Baseline FRL'!$B$23:$O$28,5,FALSE)</f>
        <v>5</v>
      </c>
      <c r="P66" s="96">
        <f>HLOOKUP(P$2,'Baseline FRL'!$B$23:$O$28,5,FALSE)</f>
        <v>1786</v>
      </c>
      <c r="Q66" s="96">
        <f>HLOOKUP(Q$2,'Baseline FRL'!$B$23:$O$28,5,FALSE)</f>
        <v>528</v>
      </c>
      <c r="R66" s="97">
        <f>HLOOKUP(R$3,'Implementing Areas'!$B$53:$K$64,8,FALSE)</f>
        <v>0.69570923014441111</v>
      </c>
      <c r="S66" s="97">
        <f>HLOOKUP(S$3,'Implementing Areas'!$B$53:$K$64,8,FALSE)</f>
        <v>0.55195016569647226</v>
      </c>
      <c r="T66" s="97">
        <f>HLOOKUP(T$3,'Implementing Areas'!$B$53:$K$64,8,FALSE)</f>
        <v>0.55195016569647226</v>
      </c>
      <c r="U66" s="97">
        <f>HLOOKUP(U$3,'Implementing Areas'!$B$53:$K$64,8,FALSE)</f>
        <v>0.69570923014441111</v>
      </c>
      <c r="V66" s="97">
        <f>HLOOKUP(V$3,'Implementing Areas'!$B$53:$K$64,8,FALSE)</f>
        <v>0.63961834455866451</v>
      </c>
      <c r="W66" s="97">
        <f>HLOOKUP(W$3,'Implementing Areas'!$B$53:$K$64,8,FALSE)</f>
        <v>0.85291267082773314</v>
      </c>
      <c r="X66" s="97">
        <f>HLOOKUP(X$3,'Implementing Areas'!$B$53:$K$64,8,FALSE)</f>
        <v>0</v>
      </c>
      <c r="Y66" s="97">
        <f>HLOOKUP(Y$3,'Implementing Areas'!$B$53:$K$64,8,FALSE)</f>
        <v>0.85291267082773314</v>
      </c>
      <c r="Z66" s="97">
        <f>HLOOKUP(Z$3,'Implementing Areas'!$B$53:$K$64,8,FALSE)</f>
        <v>0.19276739080959265</v>
      </c>
      <c r="AA66" s="97">
        <f>HLOOKUP(AA$3,'Implementing Areas'!$B$53:$K$64,8,FALSE)</f>
        <v>0.23775707599687529</v>
      </c>
      <c r="AB66" s="97">
        <f>(VLOOKUP($F66,'ER Target'!$C$3:$D$10,2,FALSE))*'Program Activity-Rev'!R66*'ER Target'!$D$12</f>
        <v>0</v>
      </c>
      <c r="AC66" s="97">
        <f>(VLOOKUP($F66,'ER Target'!$C$3:$D$10,2,FALSE))*'Program Activity-Rev'!S66*'ER Target'!$D$12</f>
        <v>0</v>
      </c>
      <c r="AD66" s="97">
        <f>(VLOOKUP($F66,'ER Target'!$C$3:$D$10,2,FALSE))*'Program Activity-Rev'!T66*'ER Target'!$D$12</f>
        <v>0</v>
      </c>
      <c r="AE66" s="97">
        <f>(VLOOKUP($F66,'ER Target'!$C$3:$D$10,2,FALSE))*'Program Activity-Rev'!U66*'ER Target'!$D$12</f>
        <v>0</v>
      </c>
      <c r="AF66" s="97">
        <f>(VLOOKUP($F66,'ER Target'!$C$3:$D$10,2,FALSE))*'Program Activity-Rev'!V66*'ER Target'!$D$12</f>
        <v>0</v>
      </c>
      <c r="AG66" s="97">
        <f>(VLOOKUP($F66,'ER Target'!$C$3:$D$10,2,FALSE))*'Program Activity-Rev'!W66*'ER Target'!$D$12</f>
        <v>0</v>
      </c>
      <c r="AH66" s="97">
        <f>(VLOOKUP($F66,'ER Target'!$C$3:$D$10,2,FALSE))*'Program Activity-Rev'!X66*'ER Target'!$D$12</f>
        <v>0</v>
      </c>
      <c r="AI66" s="97">
        <f>(VLOOKUP($F66,'ER Target'!$C$3:$D$10,2,FALSE))*'Program Activity-Rev'!Y66*'ER Target'!$D$12</f>
        <v>0</v>
      </c>
      <c r="AJ66" s="97">
        <f>(VLOOKUP($F66,'ER Target'!$C$3:$D$10,2,FALSE))*'Program Activity-Rev'!Z66*'ER Target'!$D$12</f>
        <v>0</v>
      </c>
      <c r="AK66" s="97">
        <f>(VLOOKUP($F66,'ER Target'!$C$3:$D$10,2,FALSE))*'Program Activity-Rev'!AA66*'ER Target'!$D$12</f>
        <v>0</v>
      </c>
      <c r="AL66" s="112">
        <f t="shared" si="1"/>
        <v>0</v>
      </c>
      <c r="AM66" s="112">
        <f t="shared" si="3"/>
        <v>0</v>
      </c>
      <c r="AN66" s="112">
        <f t="shared" si="4"/>
        <v>0</v>
      </c>
      <c r="AO66" s="112">
        <f t="shared" si="5"/>
        <v>0</v>
      </c>
      <c r="AP66" s="112">
        <f t="shared" si="6"/>
        <v>0</v>
      </c>
      <c r="AQ66" s="112">
        <f t="shared" si="7"/>
        <v>0</v>
      </c>
      <c r="AR66" s="112">
        <f t="shared" si="8"/>
        <v>0</v>
      </c>
      <c r="AS66" s="112">
        <f t="shared" si="9"/>
        <v>0</v>
      </c>
      <c r="AT66" s="112">
        <f t="shared" si="10"/>
        <v>0</v>
      </c>
      <c r="AU66" s="112">
        <f t="shared" si="11"/>
        <v>0</v>
      </c>
      <c r="AV66" s="112">
        <f>HLOOKUP(AV$2,'Baseline FRL'!$B$23:$O$28,6,FALSE)*'Program Activity-Rev'!AL66</f>
        <v>0</v>
      </c>
      <c r="AW66" s="112">
        <f>HLOOKUP(AW$2,'Baseline FRL'!$B$23:$O$28,6,FALSE)*'Program Activity-Rev'!AM66</f>
        <v>0</v>
      </c>
      <c r="AX66" s="112">
        <f>HLOOKUP(AX$2,'Baseline FRL'!$B$23:$O$28,6,FALSE)*'Program Activity-Rev'!AN66</f>
        <v>0</v>
      </c>
      <c r="AY66" s="112">
        <f>HLOOKUP(AY$2,'Baseline FRL'!$B$23:$O$28,6,FALSE)*'Program Activity-Rev'!AO66</f>
        <v>0</v>
      </c>
      <c r="AZ66" s="112">
        <f>HLOOKUP(AZ$2,'Baseline FRL'!$B$23:$O$28,6,FALSE)*'Program Activity-Rev'!AP66</f>
        <v>0</v>
      </c>
      <c r="BA66" s="112">
        <f>HLOOKUP(BA$2,'Baseline FRL'!$B$23:$O$28,6,FALSE)*'Program Activity-Rev'!AQ66</f>
        <v>0</v>
      </c>
      <c r="BB66" s="112">
        <f>HLOOKUP(BB$2,'Baseline FRL'!$B$23:$O$28,6,FALSE)*'Program Activity-Rev'!AR66</f>
        <v>0</v>
      </c>
      <c r="BC66" s="112">
        <f>HLOOKUP(BC$2,'Baseline FRL'!$B$23:$O$28,6,FALSE)*'Program Activity-Rev'!AS66</f>
        <v>0</v>
      </c>
      <c r="BD66" s="112">
        <f>HLOOKUP(BD$2,'Baseline FRL'!$B$23:$O$28,6,FALSE)*'Program Activity-Rev'!AT66</f>
        <v>0</v>
      </c>
      <c r="BE66" s="112">
        <f>HLOOKUP(BE$2,'Baseline FRL'!$B$23:$O$28,6,FALSE)*'Program Activity-Rev'!AU66</f>
        <v>0</v>
      </c>
      <c r="BF66" s="112">
        <f t="shared" si="2"/>
        <v>0</v>
      </c>
    </row>
    <row r="67" spans="1:58" ht="43.2" x14ac:dyDescent="0.3">
      <c r="A67" s="7" t="s">
        <v>480</v>
      </c>
      <c r="B67" s="93" t="s">
        <v>467</v>
      </c>
      <c r="C67" s="251" t="s">
        <v>387</v>
      </c>
      <c r="D67" s="229" t="s">
        <v>474</v>
      </c>
      <c r="E67" s="229" t="s">
        <v>142</v>
      </c>
      <c r="F67" s="93" t="s">
        <v>44</v>
      </c>
      <c r="G67" s="93" t="s">
        <v>251</v>
      </c>
      <c r="H67" s="96">
        <f>HLOOKUP(H$2,'Baseline FRL'!$B$23:$O$28,5,FALSE)</f>
        <v>66475</v>
      </c>
      <c r="I67" s="96">
        <f>HLOOKUP(I$2,'Baseline FRL'!$B$23:$O$28,5,FALSE)</f>
        <v>25443</v>
      </c>
      <c r="J67" s="96">
        <f>HLOOKUP(J$2,'Baseline FRL'!$B$23:$O$28,5,FALSE)</f>
        <v>7258</v>
      </c>
      <c r="K67" s="96">
        <f>HLOOKUP(K$2,'Baseline FRL'!$B$23:$O$28,5,FALSE)</f>
        <v>500</v>
      </c>
      <c r="L67" s="96">
        <f>HLOOKUP(L$2,'Baseline FRL'!$B$23:$O$28,5,FALSE)</f>
        <v>215</v>
      </c>
      <c r="M67" s="96">
        <f>HLOOKUP(M$2,'Baseline FRL'!$B$23:$O$28,5,FALSE)</f>
        <v>3928</v>
      </c>
      <c r="N67" s="96">
        <f>HLOOKUP(N$2,'Baseline FRL'!$B$23:$O$28,5,FALSE)</f>
        <v>508</v>
      </c>
      <c r="O67" s="96">
        <f>HLOOKUP(O$2,'Baseline FRL'!$B$23:$O$28,5,FALSE)</f>
        <v>5</v>
      </c>
      <c r="P67" s="96">
        <f>HLOOKUP(P$2,'Baseline FRL'!$B$23:$O$28,5,FALSE)</f>
        <v>1786</v>
      </c>
      <c r="Q67" s="96">
        <f>HLOOKUP(Q$2,'Baseline FRL'!$B$23:$O$28,5,FALSE)</f>
        <v>528</v>
      </c>
      <c r="R67" s="97">
        <f>HLOOKUP(R$3,'Implementing Areas'!$B$53:$K$64,8,FALSE)</f>
        <v>0.69570923014441111</v>
      </c>
      <c r="S67" s="97">
        <f>HLOOKUP(S$3,'Implementing Areas'!$B$53:$K$64,8,FALSE)</f>
        <v>0.55195016569647226</v>
      </c>
      <c r="T67" s="97">
        <f>HLOOKUP(T$3,'Implementing Areas'!$B$53:$K$64,8,FALSE)</f>
        <v>0.55195016569647226</v>
      </c>
      <c r="U67" s="97">
        <f>HLOOKUP(U$3,'Implementing Areas'!$B$53:$K$64,8,FALSE)</f>
        <v>0.69570923014441111</v>
      </c>
      <c r="V67" s="97">
        <f>HLOOKUP(V$3,'Implementing Areas'!$B$53:$K$64,8,FALSE)</f>
        <v>0.63961834455866451</v>
      </c>
      <c r="W67" s="97">
        <f>HLOOKUP(W$3,'Implementing Areas'!$B$53:$K$64,8,FALSE)</f>
        <v>0.85291267082773314</v>
      </c>
      <c r="X67" s="97">
        <f>HLOOKUP(X$3,'Implementing Areas'!$B$53:$K$64,8,FALSE)</f>
        <v>0</v>
      </c>
      <c r="Y67" s="97">
        <f>HLOOKUP(Y$3,'Implementing Areas'!$B$53:$K$64,8,FALSE)</f>
        <v>0.85291267082773314</v>
      </c>
      <c r="Z67" s="97">
        <f>HLOOKUP(Z$3,'Implementing Areas'!$B$53:$K$64,8,FALSE)</f>
        <v>0.19276739080959265</v>
      </c>
      <c r="AA67" s="97">
        <f>HLOOKUP(AA$3,'Implementing Areas'!$B$53:$K$64,8,FALSE)</f>
        <v>0.23775707599687529</v>
      </c>
      <c r="AB67" s="97">
        <f>(VLOOKUP($F67,'ER Target'!$C$3:$D$10,2,FALSE))*'Program Activity-Rev'!R67*'ER Target'!$D$12</f>
        <v>2.4349823055054391E-2</v>
      </c>
      <c r="AC67" s="97">
        <f>(VLOOKUP($F67,'ER Target'!$C$3:$D$10,2,FALSE))*'Program Activity-Rev'!S67*'ER Target'!$D$12</f>
        <v>1.931825579937653E-2</v>
      </c>
      <c r="AD67" s="97">
        <f>(VLOOKUP($F67,'ER Target'!$C$3:$D$10,2,FALSE))*'Program Activity-Rev'!T67*'ER Target'!$D$12</f>
        <v>1.931825579937653E-2</v>
      </c>
      <c r="AE67" s="97">
        <f>(VLOOKUP($F67,'ER Target'!$C$3:$D$10,2,FALSE))*'Program Activity-Rev'!U67*'ER Target'!$D$12</f>
        <v>2.4349823055054391E-2</v>
      </c>
      <c r="AF67" s="97">
        <f>(VLOOKUP($F67,'ER Target'!$C$3:$D$10,2,FALSE))*'Program Activity-Rev'!V67*'ER Target'!$D$12</f>
        <v>2.238664205955326E-2</v>
      </c>
      <c r="AG67" s="97">
        <f>(VLOOKUP($F67,'ER Target'!$C$3:$D$10,2,FALSE))*'Program Activity-Rev'!W67*'ER Target'!$D$12</f>
        <v>2.9851943478970664E-2</v>
      </c>
      <c r="AH67" s="97">
        <f>(VLOOKUP($F67,'ER Target'!$C$3:$D$10,2,FALSE))*'Program Activity-Rev'!X67*'ER Target'!$D$12</f>
        <v>0</v>
      </c>
      <c r="AI67" s="97">
        <f>(VLOOKUP($F67,'ER Target'!$C$3:$D$10,2,FALSE))*'Program Activity-Rev'!Y67*'ER Target'!$D$12</f>
        <v>2.9851943478970664E-2</v>
      </c>
      <c r="AJ67" s="97">
        <f>(VLOOKUP($F67,'ER Target'!$C$3:$D$10,2,FALSE))*'Program Activity-Rev'!Z67*'ER Target'!$D$12</f>
        <v>6.7468586783357432E-3</v>
      </c>
      <c r="AK67" s="97">
        <f>(VLOOKUP($F67,'ER Target'!$C$3:$D$10,2,FALSE))*'Program Activity-Rev'!AA67*'ER Target'!$D$12</f>
        <v>8.3214976598906358E-3</v>
      </c>
      <c r="AL67" s="112">
        <f t="shared" si="1"/>
        <v>1618.6544875847408</v>
      </c>
      <c r="AM67" s="112">
        <f t="shared" si="3"/>
        <v>491.51438230353705</v>
      </c>
      <c r="AN67" s="112">
        <f t="shared" si="4"/>
        <v>140.21190059187487</v>
      </c>
      <c r="AO67" s="112">
        <f t="shared" si="5"/>
        <v>12.174911527527195</v>
      </c>
      <c r="AP67" s="112">
        <f t="shared" si="6"/>
        <v>4.8131280428039505</v>
      </c>
      <c r="AQ67" s="112">
        <f t="shared" si="7"/>
        <v>117.25843398539676</v>
      </c>
      <c r="AR67" s="112">
        <f t="shared" si="8"/>
        <v>0</v>
      </c>
      <c r="AS67" s="112">
        <f t="shared" si="9"/>
        <v>0.14925971739485333</v>
      </c>
      <c r="AT67" s="112">
        <f t="shared" si="10"/>
        <v>12.049889599507637</v>
      </c>
      <c r="AU67" s="112">
        <f t="shared" si="11"/>
        <v>4.393750764422256</v>
      </c>
      <c r="AV67" s="112">
        <f>HLOOKUP(AV$2,'Baseline FRL'!$B$23:$O$28,6,FALSE)*'Program Activity-Rev'!AL67</f>
        <v>602267.69554973149</v>
      </c>
      <c r="AW67" s="112">
        <f>HLOOKUP(AW$2,'Baseline FRL'!$B$23:$O$28,6,FALSE)*'Program Activity-Rev'!AM67</f>
        <v>18538.918723918079</v>
      </c>
      <c r="AX67" s="112">
        <f>HLOOKUP(AX$2,'Baseline FRL'!$B$23:$O$28,6,FALSE)*'Program Activity-Rev'!AN67</f>
        <v>71369.711953821054</v>
      </c>
      <c r="AY67" s="112">
        <f>HLOOKUP(AY$2,'Baseline FRL'!$B$23:$O$28,6,FALSE)*'Program Activity-Rev'!AO67</f>
        <v>612.73894735738872</v>
      </c>
      <c r="AZ67" s="112">
        <f>HLOOKUP(AZ$2,'Baseline FRL'!$B$23:$O$28,6,FALSE)*'Program Activity-Rev'!AP67</f>
        <v>234.88064848883278</v>
      </c>
      <c r="BA67" s="112">
        <f>HLOOKUP(BA$2,'Baseline FRL'!$B$23:$O$28,6,FALSE)*'Program Activity-Rev'!AQ67</f>
        <v>24377.097044927443</v>
      </c>
      <c r="BB67" s="112">
        <f>HLOOKUP(BB$2,'Baseline FRL'!$B$23:$O$28,6,FALSE)*'Program Activity-Rev'!AR67</f>
        <v>0</v>
      </c>
      <c r="BC67" s="112">
        <f>HLOOKUP(BC$2,'Baseline FRL'!$B$23:$O$28,6,FALSE)*'Program Activity-Rev'!AS67</f>
        <v>6.1793523001469275</v>
      </c>
      <c r="BD67" s="112">
        <f>HLOOKUP(BD$2,'Baseline FRL'!$B$23:$O$28,6,FALSE)*'Program Activity-Rev'!AT67</f>
        <v>4316.3568143347184</v>
      </c>
      <c r="BE67" s="112">
        <f>HLOOKUP(BE$2,'Baseline FRL'!$B$23:$O$28,6,FALSE)*'Program Activity-Rev'!AU67</f>
        <v>183.65545335378633</v>
      </c>
      <c r="BF67" s="112">
        <f t="shared" si="2"/>
        <v>721907.23448823288</v>
      </c>
    </row>
    <row r="68" spans="1:58" s="173" customFormat="1" x14ac:dyDescent="0.3">
      <c r="A68" s="7" t="s">
        <v>480</v>
      </c>
      <c r="B68" s="183" t="s">
        <v>467</v>
      </c>
      <c r="C68" s="235" t="s">
        <v>387</v>
      </c>
      <c r="D68" s="236" t="s">
        <v>475</v>
      </c>
      <c r="E68" s="236" t="s">
        <v>476</v>
      </c>
      <c r="F68" s="237"/>
      <c r="G68" s="237"/>
      <c r="H68" s="234"/>
      <c r="I68" s="234"/>
      <c r="J68" s="234"/>
      <c r="K68" s="234"/>
      <c r="L68" s="234"/>
      <c r="M68" s="234"/>
      <c r="N68" s="234"/>
      <c r="O68" s="234"/>
      <c r="P68" s="234"/>
      <c r="Q68" s="234"/>
      <c r="R68" s="239"/>
      <c r="S68" s="239"/>
      <c r="T68" s="239"/>
      <c r="U68" s="239"/>
      <c r="V68" s="239"/>
      <c r="W68" s="239"/>
      <c r="X68" s="239"/>
      <c r="Y68" s="239"/>
      <c r="Z68" s="239"/>
      <c r="AA68" s="239"/>
      <c r="AB68" s="239"/>
      <c r="AC68" s="239"/>
      <c r="AD68" s="239"/>
      <c r="AE68" s="239"/>
      <c r="AF68" s="239"/>
      <c r="AG68" s="239"/>
      <c r="AH68" s="239"/>
      <c r="AI68" s="239"/>
      <c r="AJ68" s="239"/>
      <c r="AK68" s="239"/>
      <c r="AL68" s="240"/>
      <c r="AM68" s="240"/>
      <c r="AN68" s="240"/>
      <c r="AO68" s="240"/>
      <c r="AP68" s="240"/>
      <c r="AQ68" s="240"/>
      <c r="AR68" s="240"/>
      <c r="AS68" s="240"/>
      <c r="AT68" s="240"/>
      <c r="AU68" s="240"/>
      <c r="AV68" s="240"/>
      <c r="AW68" s="240"/>
      <c r="AX68" s="240"/>
      <c r="AY68" s="240"/>
      <c r="AZ68" s="240"/>
      <c r="BA68" s="240"/>
      <c r="BB68" s="240"/>
      <c r="BC68" s="240"/>
      <c r="BD68" s="240"/>
      <c r="BE68" s="240"/>
      <c r="BF68" s="241"/>
    </row>
    <row r="69" spans="1:58" s="173" customFormat="1" ht="28.8" x14ac:dyDescent="0.3">
      <c r="A69" s="7" t="s">
        <v>480</v>
      </c>
      <c r="B69" s="183" t="s">
        <v>467</v>
      </c>
      <c r="C69" s="235" t="s">
        <v>387</v>
      </c>
      <c r="D69" s="236" t="s">
        <v>477</v>
      </c>
      <c r="E69" s="236" t="s">
        <v>478</v>
      </c>
      <c r="F69" s="237"/>
      <c r="G69" s="237"/>
      <c r="H69" s="234"/>
      <c r="I69" s="234"/>
      <c r="J69" s="234"/>
      <c r="K69" s="234"/>
      <c r="L69" s="234"/>
      <c r="M69" s="234"/>
      <c r="N69" s="234"/>
      <c r="O69" s="234"/>
      <c r="P69" s="234"/>
      <c r="Q69" s="234"/>
      <c r="R69" s="239"/>
      <c r="S69" s="239"/>
      <c r="T69" s="239"/>
      <c r="U69" s="239"/>
      <c r="V69" s="239"/>
      <c r="W69" s="239"/>
      <c r="X69" s="239"/>
      <c r="Y69" s="239"/>
      <c r="Z69" s="239"/>
      <c r="AA69" s="239"/>
      <c r="AB69" s="239"/>
      <c r="AC69" s="239"/>
      <c r="AD69" s="239"/>
      <c r="AE69" s="239"/>
      <c r="AF69" s="239"/>
      <c r="AG69" s="239"/>
      <c r="AH69" s="239"/>
      <c r="AI69" s="239"/>
      <c r="AJ69" s="239"/>
      <c r="AK69" s="239"/>
      <c r="AL69" s="240"/>
      <c r="AM69" s="240"/>
      <c r="AN69" s="240"/>
      <c r="AO69" s="240"/>
      <c r="AP69" s="240"/>
      <c r="AQ69" s="240"/>
      <c r="AR69" s="240"/>
      <c r="AS69" s="240"/>
      <c r="AT69" s="240"/>
      <c r="AU69" s="240"/>
      <c r="AV69" s="240"/>
      <c r="AW69" s="240"/>
      <c r="AX69" s="240"/>
      <c r="AY69" s="240"/>
      <c r="AZ69" s="240"/>
      <c r="BA69" s="240"/>
      <c r="BB69" s="240"/>
      <c r="BC69" s="240"/>
      <c r="BD69" s="240"/>
      <c r="BE69" s="240"/>
      <c r="BF69" s="241"/>
    </row>
  </sheetData>
  <autoFilter ref="B4:BF67" xr:uid="{24ED8557-E324-4DF0-A537-CDE633F58F69}">
    <filterColumn colId="4">
      <filters>
        <filter val="Direct mitigation"/>
      </filters>
    </filterColumn>
  </autoFilter>
  <mergeCells count="6">
    <mergeCell ref="H1:Q1"/>
    <mergeCell ref="R1:AA1"/>
    <mergeCell ref="AL1:AU1"/>
    <mergeCell ref="AV1:BE1"/>
    <mergeCell ref="BF1:BF3"/>
    <mergeCell ref="AB1:AK1"/>
  </mergeCells>
  <phoneticPr fontId="18" type="noConversion"/>
  <pageMargins left="0.7" right="0.7" top="0.75" bottom="0.75" header="0.3" footer="0.3"/>
  <pageSetup orientation="portrait" horizontalDpi="4294967293" verticalDpi="0"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B909D10-24F6-4D36-8F89-3F5120543608}">
  <dimension ref="A1:L24"/>
  <sheetViews>
    <sheetView tabSelected="1" topLeftCell="A6" zoomScale="80" zoomScaleNormal="80" workbookViewId="0">
      <selection activeCell="J13" sqref="J13"/>
    </sheetView>
  </sheetViews>
  <sheetFormatPr baseColWidth="10" defaultColWidth="11.44140625" defaultRowHeight="14.4" x14ac:dyDescent="0.3"/>
  <cols>
    <col min="1" max="1" width="16.109375" customWidth="1"/>
    <col min="2" max="2" width="17.109375" bestFit="1" customWidth="1"/>
    <col min="3" max="3" width="28.33203125" customWidth="1"/>
    <col min="4" max="4" width="34.88671875" style="3" customWidth="1"/>
    <col min="5" max="5" width="19.44140625" style="173" bestFit="1" customWidth="1"/>
    <col min="6" max="6" width="19.44140625" customWidth="1"/>
    <col min="7" max="7" width="19.44140625" style="173" customWidth="1"/>
    <col min="8" max="8" width="19.44140625" customWidth="1"/>
    <col min="9" max="9" width="56" customWidth="1"/>
    <col min="10" max="10" width="51.5546875" customWidth="1"/>
  </cols>
  <sheetData>
    <row r="1" spans="1:12" x14ac:dyDescent="0.3">
      <c r="A1" t="s">
        <v>12</v>
      </c>
    </row>
    <row r="2" spans="1:12" x14ac:dyDescent="0.3">
      <c r="A2" t="s">
        <v>334</v>
      </c>
    </row>
    <row r="3" spans="1:12" ht="57.6" x14ac:dyDescent="0.3">
      <c r="A3" s="6" t="s">
        <v>13</v>
      </c>
      <c r="B3" s="6" t="s">
        <v>14</v>
      </c>
      <c r="C3" s="6" t="s">
        <v>15</v>
      </c>
      <c r="D3" s="159" t="s">
        <v>16</v>
      </c>
      <c r="E3" s="180" t="s">
        <v>17</v>
      </c>
      <c r="F3" s="159" t="s">
        <v>361</v>
      </c>
      <c r="G3" s="174" t="s">
        <v>377</v>
      </c>
      <c r="H3" s="159" t="s">
        <v>362</v>
      </c>
      <c r="I3" s="6" t="s">
        <v>335</v>
      </c>
      <c r="K3" s="6"/>
      <c r="L3" s="6"/>
    </row>
    <row r="4" spans="1:12" ht="75" customHeight="1" x14ac:dyDescent="0.3">
      <c r="A4" t="s">
        <v>371</v>
      </c>
      <c r="B4" t="s">
        <v>18</v>
      </c>
      <c r="C4" s="3" t="s">
        <v>363</v>
      </c>
      <c r="D4" s="3" t="s">
        <v>328</v>
      </c>
      <c r="E4" s="176">
        <v>100000</v>
      </c>
      <c r="F4" s="161">
        <f>E4/'Implementing Areas'!E45</f>
        <v>0.22632531615607948</v>
      </c>
      <c r="G4" s="175">
        <v>0.9</v>
      </c>
      <c r="H4" s="168">
        <f>F4*G4</f>
        <v>0.20369278454047154</v>
      </c>
      <c r="I4" s="160" t="s">
        <v>360</v>
      </c>
      <c r="L4" s="117"/>
    </row>
    <row r="5" spans="1:12" ht="100.8" x14ac:dyDescent="0.3">
      <c r="A5" t="s">
        <v>372</v>
      </c>
      <c r="B5" t="s">
        <v>19</v>
      </c>
      <c r="C5" s="3" t="s">
        <v>20</v>
      </c>
      <c r="D5" s="3" t="s">
        <v>336</v>
      </c>
      <c r="E5" s="176">
        <v>25000</v>
      </c>
      <c r="F5" s="161">
        <f>E5/'Implementing Areas'!E48</f>
        <v>7.3413341616575076E-2</v>
      </c>
      <c r="G5" s="175">
        <v>0.5</v>
      </c>
      <c r="H5" s="168">
        <f>F5*G5</f>
        <v>3.6706670808287538E-2</v>
      </c>
      <c r="I5" s="114" t="s">
        <v>364</v>
      </c>
      <c r="J5">
        <f>25/400</f>
        <v>6.25E-2</v>
      </c>
      <c r="L5" s="117"/>
    </row>
    <row r="6" spans="1:12" ht="57.6" x14ac:dyDescent="0.3">
      <c r="B6" t="s">
        <v>21</v>
      </c>
      <c r="C6" s="3" t="s">
        <v>22</v>
      </c>
      <c r="D6" s="3" t="s">
        <v>23</v>
      </c>
      <c r="E6" s="176"/>
      <c r="F6" s="157"/>
      <c r="G6" s="176"/>
      <c r="H6" s="157"/>
      <c r="I6" s="114"/>
      <c r="L6" s="117"/>
    </row>
    <row r="7" spans="1:12" ht="84.6" customHeight="1" x14ac:dyDescent="0.3">
      <c r="A7" t="s">
        <v>373</v>
      </c>
      <c r="B7" t="s">
        <v>24</v>
      </c>
      <c r="C7" s="3" t="s">
        <v>25</v>
      </c>
      <c r="D7" s="3" t="s">
        <v>329</v>
      </c>
      <c r="E7" s="181" t="s">
        <v>365</v>
      </c>
      <c r="F7" s="161">
        <f>10/16</f>
        <v>0.625</v>
      </c>
      <c r="G7" s="177">
        <v>0.2</v>
      </c>
      <c r="H7" s="168">
        <f>F7*G7</f>
        <v>0.125</v>
      </c>
      <c r="I7" s="160" t="s">
        <v>359</v>
      </c>
      <c r="J7">
        <f>10/16</f>
        <v>0.625</v>
      </c>
      <c r="L7" s="117"/>
    </row>
    <row r="8" spans="1:12" ht="43.2" x14ac:dyDescent="0.3">
      <c r="B8" t="s">
        <v>26</v>
      </c>
      <c r="C8" s="3" t="s">
        <v>27</v>
      </c>
      <c r="D8" s="3" t="s">
        <v>330</v>
      </c>
      <c r="E8" s="176">
        <v>0</v>
      </c>
      <c r="F8" s="157"/>
      <c r="G8" s="176"/>
      <c r="H8" s="161"/>
      <c r="I8" s="157" t="s">
        <v>340</v>
      </c>
      <c r="L8" s="117"/>
    </row>
    <row r="9" spans="1:12" ht="57.6" x14ac:dyDescent="0.3">
      <c r="A9" t="s">
        <v>374</v>
      </c>
      <c r="B9" t="s">
        <v>28</v>
      </c>
      <c r="C9" s="3" t="s">
        <v>29</v>
      </c>
      <c r="D9" s="3" t="s">
        <v>366</v>
      </c>
      <c r="E9" s="176">
        <v>100000</v>
      </c>
      <c r="F9" s="161">
        <f>(E10+E9)/'Implementing Areas'!E49</f>
        <v>0.87743525427046665</v>
      </c>
      <c r="G9" s="175">
        <v>0.5</v>
      </c>
      <c r="H9" s="168">
        <f>F9*G9</f>
        <v>0.43871762713523332</v>
      </c>
      <c r="I9" s="114" t="s">
        <v>367</v>
      </c>
      <c r="J9">
        <f>200/230</f>
        <v>0.86956521739130432</v>
      </c>
      <c r="L9" s="117"/>
    </row>
    <row r="10" spans="1:12" ht="43.2" x14ac:dyDescent="0.3">
      <c r="B10" t="s">
        <v>28</v>
      </c>
      <c r="C10" s="3" t="s">
        <v>30</v>
      </c>
      <c r="D10" s="3" t="s">
        <v>331</v>
      </c>
      <c r="E10" s="176">
        <v>100000</v>
      </c>
      <c r="F10" s="157"/>
      <c r="G10" s="176"/>
      <c r="H10" s="161"/>
      <c r="I10" s="114" t="s">
        <v>340</v>
      </c>
      <c r="L10" s="117"/>
    </row>
    <row r="11" spans="1:12" ht="30" customHeight="1" x14ac:dyDescent="0.3">
      <c r="A11" t="s">
        <v>375</v>
      </c>
      <c r="B11" t="s">
        <v>31</v>
      </c>
      <c r="C11" s="3" t="s">
        <v>32</v>
      </c>
      <c r="D11" s="318" t="s">
        <v>333</v>
      </c>
      <c r="E11" s="182">
        <v>5000</v>
      </c>
      <c r="F11" s="169">
        <f>E11/'Implementing Areas'!K41</f>
        <v>7.0495829607370086E-3</v>
      </c>
      <c r="G11" s="178">
        <v>1</v>
      </c>
      <c r="H11" s="161">
        <f>F11*G11</f>
        <v>7.0495829607370086E-3</v>
      </c>
      <c r="I11" s="157" t="s">
        <v>368</v>
      </c>
      <c r="L11" s="117"/>
    </row>
    <row r="12" spans="1:12" x14ac:dyDescent="0.3">
      <c r="B12" t="s">
        <v>31</v>
      </c>
      <c r="C12" s="3" t="s">
        <v>33</v>
      </c>
      <c r="D12" s="318"/>
      <c r="E12" s="182">
        <v>5000</v>
      </c>
      <c r="F12" s="169">
        <f>E12/'Implementing Areas'!K41</f>
        <v>7.0495829607370086E-3</v>
      </c>
      <c r="G12" s="178">
        <v>1</v>
      </c>
      <c r="H12" s="161">
        <f>F12*G12</f>
        <v>7.0495829607370086E-3</v>
      </c>
      <c r="I12" s="157"/>
      <c r="J12">
        <f>5/184</f>
        <v>2.717391304347826E-2</v>
      </c>
      <c r="L12" s="117"/>
    </row>
    <row r="13" spans="1:12" ht="115.2" x14ac:dyDescent="0.3">
      <c r="A13" t="s">
        <v>376</v>
      </c>
      <c r="B13" t="s">
        <v>31</v>
      </c>
      <c r="C13" s="3" t="s">
        <v>34</v>
      </c>
      <c r="D13" s="3" t="s">
        <v>370</v>
      </c>
      <c r="E13" s="176">
        <f>25*2*0.5</f>
        <v>25</v>
      </c>
      <c r="F13" s="169">
        <f>E13/'Implementing Areas'!K41</f>
        <v>3.5247914803685044E-5</v>
      </c>
      <c r="G13" s="175">
        <v>1</v>
      </c>
      <c r="H13" s="170">
        <f>F13*G13</f>
        <v>3.5247914803685044E-5</v>
      </c>
      <c r="I13" s="157" t="s">
        <v>369</v>
      </c>
      <c r="L13" s="117"/>
    </row>
    <row r="14" spans="1:12" x14ac:dyDescent="0.3">
      <c r="E14" s="179"/>
      <c r="F14" s="158"/>
      <c r="G14" s="179"/>
      <c r="H14" s="201">
        <f>SUM(H11:H13)</f>
        <v>1.4134413836277702E-2</v>
      </c>
      <c r="I14" s="158"/>
      <c r="J14" s="157"/>
      <c r="L14" s="158"/>
    </row>
    <row r="24" spans="9:9" x14ac:dyDescent="0.3">
      <c r="I24" t="s">
        <v>344</v>
      </c>
    </row>
  </sheetData>
  <mergeCells count="1">
    <mergeCell ref="D11:D12"/>
  </mergeCells>
  <phoneticPr fontId="18" type="noConversion"/>
  <pageMargins left="0.7" right="0.7" top="0.78740157499999996" bottom="0.78740157499999996" header="0.3" footer="0.3"/>
  <pageSetup orientation="portrait" r:id="rId1"/>
  <legacy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1BADCDF-85FF-4E20-948F-197D0BAA11EB}">
  <sheetPr>
    <tabColor rgb="FF00B0F0"/>
  </sheetPr>
  <dimension ref="B1:O28"/>
  <sheetViews>
    <sheetView showGridLines="0" topLeftCell="A16" zoomScale="77" zoomScaleNormal="77" workbookViewId="0">
      <selection activeCell="C17" sqref="C17"/>
    </sheetView>
  </sheetViews>
  <sheetFormatPr baseColWidth="10" defaultColWidth="10.88671875" defaultRowHeight="13.2" x14ac:dyDescent="0.25"/>
  <cols>
    <col min="1" max="1" width="10.88671875" style="9"/>
    <col min="2" max="2" width="33.5546875" style="9" customWidth="1"/>
    <col min="3" max="3" width="15" style="9" customWidth="1"/>
    <col min="4" max="11" width="10.88671875" style="9"/>
    <col min="12" max="12" width="14.88671875" style="9" bestFit="1" customWidth="1"/>
    <col min="13" max="14" width="10.88671875" style="9"/>
    <col min="15" max="15" width="16.44140625" style="9" customWidth="1"/>
    <col min="16" max="16384" width="10.88671875" style="9"/>
  </cols>
  <sheetData>
    <row r="1" spans="2:12" x14ac:dyDescent="0.25">
      <c r="B1" s="10" t="s">
        <v>257</v>
      </c>
      <c r="C1" s="10"/>
    </row>
    <row r="2" spans="2:12" ht="27" thickBot="1" x14ac:dyDescent="0.3">
      <c r="B2" s="12" t="s">
        <v>13</v>
      </c>
      <c r="C2" s="13" t="s">
        <v>508</v>
      </c>
      <c r="D2" s="13" t="s">
        <v>259</v>
      </c>
      <c r="E2" s="14" t="s">
        <v>260</v>
      </c>
      <c r="F2" s="15" t="s">
        <v>261</v>
      </c>
      <c r="G2" s="280" t="s">
        <v>507</v>
      </c>
    </row>
    <row r="3" spans="2:12" ht="13.8" thickTop="1" x14ac:dyDescent="0.25">
      <c r="B3" s="16" t="s">
        <v>87</v>
      </c>
      <c r="C3" s="18">
        <v>24733966</v>
      </c>
      <c r="D3" s="18"/>
      <c r="E3" s="19"/>
      <c r="F3" s="20">
        <v>66475</v>
      </c>
      <c r="G3" s="17">
        <f>C3/F3</f>
        <v>372.07921775103421</v>
      </c>
    </row>
    <row r="4" spans="2:12" ht="26.4" x14ac:dyDescent="0.25">
      <c r="B4" s="16" t="s">
        <v>89</v>
      </c>
      <c r="C4" s="18">
        <v>959658</v>
      </c>
      <c r="D4" s="18"/>
      <c r="E4" s="19"/>
      <c r="F4" s="20">
        <v>25443</v>
      </c>
      <c r="G4" s="17">
        <f t="shared" ref="G4:G7" si="0">C4/F4</f>
        <v>37.717957787996696</v>
      </c>
    </row>
    <row r="5" spans="2:12" x14ac:dyDescent="0.25">
      <c r="B5" s="16" t="s">
        <v>91</v>
      </c>
      <c r="C5" s="18">
        <v>3694418</v>
      </c>
      <c r="D5" s="18"/>
      <c r="E5" s="19"/>
      <c r="F5" s="20">
        <v>7258</v>
      </c>
      <c r="G5" s="17">
        <f t="shared" si="0"/>
        <v>509.0132267842381</v>
      </c>
    </row>
    <row r="6" spans="2:12" ht="26.4" x14ac:dyDescent="0.25">
      <c r="B6" s="16" t="s">
        <v>92</v>
      </c>
      <c r="C6" s="18">
        <f>17546+7618</f>
        <v>25164</v>
      </c>
      <c r="D6" s="18"/>
      <c r="E6" s="19"/>
      <c r="F6" s="20">
        <v>500</v>
      </c>
      <c r="G6" s="17">
        <f t="shared" si="0"/>
        <v>50.328000000000003</v>
      </c>
    </row>
    <row r="7" spans="2:12" ht="26.4" x14ac:dyDescent="0.25">
      <c r="B7" s="16" t="s">
        <v>93</v>
      </c>
      <c r="C7" s="18">
        <v>10492</v>
      </c>
      <c r="D7" s="18"/>
      <c r="E7" s="19"/>
      <c r="F7" s="20">
        <v>215</v>
      </c>
      <c r="G7" s="17">
        <f t="shared" si="0"/>
        <v>48.8</v>
      </c>
    </row>
    <row r="8" spans="2:12" x14ac:dyDescent="0.25">
      <c r="B8" s="16"/>
      <c r="C8" s="18"/>
      <c r="D8" s="18"/>
      <c r="E8" s="19"/>
      <c r="F8" s="20"/>
      <c r="G8" s="17"/>
    </row>
    <row r="9" spans="2:12" x14ac:dyDescent="0.25">
      <c r="B9" s="16" t="s">
        <v>94</v>
      </c>
      <c r="C9" s="18">
        <v>816600</v>
      </c>
      <c r="D9" s="18"/>
      <c r="E9" s="19"/>
      <c r="F9" s="20">
        <v>3928</v>
      </c>
      <c r="G9" s="17">
        <f t="shared" ref="G9:G11" si="1">C9/F9</f>
        <v>207.89205702647658</v>
      </c>
    </row>
    <row r="10" spans="2:12" ht="26.4" x14ac:dyDescent="0.25">
      <c r="B10" s="16" t="s">
        <v>96</v>
      </c>
      <c r="C10" s="18">
        <v>8234</v>
      </c>
      <c r="D10" s="18"/>
      <c r="E10" s="19"/>
      <c r="F10" s="20">
        <v>508</v>
      </c>
      <c r="G10" s="17">
        <f t="shared" si="1"/>
        <v>16.208661417322833</v>
      </c>
    </row>
    <row r="11" spans="2:12" ht="26.4" x14ac:dyDescent="0.25">
      <c r="B11" s="16" t="s">
        <v>97</v>
      </c>
      <c r="C11" s="18">
        <f>144+63</f>
        <v>207</v>
      </c>
      <c r="D11" s="18"/>
      <c r="E11" s="19"/>
      <c r="F11" s="20">
        <v>5</v>
      </c>
      <c r="G11" s="17">
        <f t="shared" si="1"/>
        <v>41.4</v>
      </c>
    </row>
    <row r="12" spans="2:12" x14ac:dyDescent="0.25">
      <c r="B12" s="16"/>
      <c r="C12" s="18"/>
      <c r="D12" s="18"/>
      <c r="E12" s="19"/>
      <c r="F12" s="20"/>
      <c r="G12" s="17"/>
    </row>
    <row r="13" spans="2:12" ht="26.4" x14ac:dyDescent="0.25">
      <c r="B13" s="16" t="s">
        <v>504</v>
      </c>
      <c r="C13" s="18">
        <v>-639758</v>
      </c>
      <c r="D13" s="18"/>
      <c r="E13" s="19"/>
      <c r="F13" s="20">
        <v>1786</v>
      </c>
      <c r="G13" s="17">
        <f>ABS(C13/F13)</f>
        <v>358.20716685330348</v>
      </c>
      <c r="L13" s="282">
        <v>30270809</v>
      </c>
    </row>
    <row r="14" spans="2:12" ht="26.4" x14ac:dyDescent="0.25">
      <c r="B14" s="16" t="s">
        <v>100</v>
      </c>
      <c r="C14" s="18">
        <v>22070</v>
      </c>
      <c r="D14" s="18"/>
      <c r="E14" s="19"/>
      <c r="F14" s="20">
        <v>528</v>
      </c>
      <c r="G14" s="17">
        <f t="shared" ref="G14" si="2">C14/F14</f>
        <v>41.799242424242422</v>
      </c>
    </row>
    <row r="15" spans="2:12" x14ac:dyDescent="0.25">
      <c r="B15" s="16"/>
      <c r="C15" s="18"/>
      <c r="D15" s="18"/>
      <c r="E15" s="19"/>
      <c r="F15" s="20"/>
      <c r="G15" s="11"/>
    </row>
    <row r="16" spans="2:12" x14ac:dyDescent="0.25">
      <c r="B16" s="21" t="s">
        <v>506</v>
      </c>
      <c r="C16" s="22">
        <f>SUM(C3:C12)+C14</f>
        <v>30270809</v>
      </c>
      <c r="D16" s="22"/>
      <c r="E16" s="23"/>
      <c r="F16" s="24">
        <f>F18-F17</f>
        <v>104860</v>
      </c>
      <c r="G16" s="24"/>
    </row>
    <row r="17" spans="2:15" x14ac:dyDescent="0.25">
      <c r="B17" s="21" t="s">
        <v>505</v>
      </c>
      <c r="C17" s="22">
        <f>C13</f>
        <v>-639758</v>
      </c>
      <c r="D17" s="22"/>
      <c r="E17" s="23"/>
      <c r="F17" s="24">
        <f>SUM(F13)</f>
        <v>1786</v>
      </c>
      <c r="G17" s="24"/>
    </row>
    <row r="18" spans="2:15" x14ac:dyDescent="0.25">
      <c r="B18" s="21" t="s">
        <v>509</v>
      </c>
      <c r="C18" s="283">
        <f>C16+C17</f>
        <v>29631051</v>
      </c>
      <c r="D18" s="21"/>
      <c r="E18" s="21"/>
      <c r="F18" s="281">
        <f>SUM(F3:F15)</f>
        <v>106646</v>
      </c>
      <c r="G18" s="23"/>
    </row>
    <row r="20" spans="2:15" x14ac:dyDescent="0.25">
      <c r="C20" s="279"/>
    </row>
    <row r="23" spans="2:15" ht="92.4" x14ac:dyDescent="0.25">
      <c r="B23" s="28" t="s">
        <v>13</v>
      </c>
      <c r="C23" s="29" t="s">
        <v>87</v>
      </c>
      <c r="D23" s="29" t="s">
        <v>89</v>
      </c>
      <c r="E23" s="29" t="s">
        <v>91</v>
      </c>
      <c r="F23" s="29" t="s">
        <v>92</v>
      </c>
      <c r="G23" s="29" t="s">
        <v>93</v>
      </c>
      <c r="H23" s="29"/>
      <c r="I23" s="29" t="s">
        <v>94</v>
      </c>
      <c r="J23" s="29" t="s">
        <v>96</v>
      </c>
      <c r="K23" s="29" t="s">
        <v>97</v>
      </c>
      <c r="L23" s="29"/>
      <c r="M23" s="29" t="s">
        <v>98</v>
      </c>
      <c r="N23" s="29" t="s">
        <v>100</v>
      </c>
      <c r="O23" s="30" t="s">
        <v>263</v>
      </c>
    </row>
    <row r="24" spans="2:15" x14ac:dyDescent="0.25">
      <c r="B24" s="31" t="s">
        <v>258</v>
      </c>
      <c r="C24" s="32">
        <v>24733966</v>
      </c>
      <c r="D24" s="32">
        <v>959658</v>
      </c>
      <c r="E24" s="32">
        <v>3694418</v>
      </c>
      <c r="F24" s="32">
        <f>17546+7618</f>
        <v>25164</v>
      </c>
      <c r="G24" s="32">
        <v>10492</v>
      </c>
      <c r="H24" s="32"/>
      <c r="I24" s="32">
        <v>816600</v>
      </c>
      <c r="J24" s="32">
        <v>8234</v>
      </c>
      <c r="K24" s="32">
        <f>144+63</f>
        <v>207</v>
      </c>
      <c r="L24" s="32"/>
      <c r="M24" s="32">
        <v>639758</v>
      </c>
      <c r="N24" s="32">
        <v>22070</v>
      </c>
      <c r="O24" s="33">
        <f>SUM(C24:N24)</f>
        <v>30910567</v>
      </c>
    </row>
    <row r="25" spans="2:15" s="25" customFormat="1" x14ac:dyDescent="0.25">
      <c r="B25" s="31" t="s">
        <v>259</v>
      </c>
      <c r="C25" s="32"/>
      <c r="D25" s="32"/>
      <c r="E25" s="32"/>
      <c r="F25" s="32"/>
      <c r="G25" s="32"/>
      <c r="H25" s="32"/>
      <c r="I25" s="32"/>
      <c r="J25" s="32"/>
      <c r="K25" s="32"/>
      <c r="L25" s="32"/>
      <c r="M25" s="32"/>
      <c r="N25" s="32"/>
      <c r="O25" s="33"/>
    </row>
    <row r="26" spans="2:15" x14ac:dyDescent="0.25">
      <c r="B26" s="34" t="s">
        <v>260</v>
      </c>
      <c r="C26" s="35"/>
      <c r="D26" s="35"/>
      <c r="E26" s="35"/>
      <c r="F26" s="35"/>
      <c r="G26" s="35"/>
      <c r="H26" s="35"/>
      <c r="I26" s="35"/>
      <c r="J26" s="35"/>
      <c r="K26" s="35"/>
      <c r="L26" s="35"/>
      <c r="M26" s="35"/>
      <c r="N26" s="35"/>
      <c r="O26" s="36"/>
    </row>
    <row r="27" spans="2:15" x14ac:dyDescent="0.25">
      <c r="B27" s="37" t="s">
        <v>261</v>
      </c>
      <c r="C27" s="38">
        <v>66475</v>
      </c>
      <c r="D27" s="38">
        <v>25443</v>
      </c>
      <c r="E27" s="38">
        <v>7258</v>
      </c>
      <c r="F27" s="38">
        <v>500</v>
      </c>
      <c r="G27" s="38">
        <v>215</v>
      </c>
      <c r="H27" s="38"/>
      <c r="I27" s="38">
        <v>3928</v>
      </c>
      <c r="J27" s="38">
        <v>508</v>
      </c>
      <c r="K27" s="38">
        <v>5</v>
      </c>
      <c r="L27" s="38"/>
      <c r="M27" s="38">
        <v>1786</v>
      </c>
      <c r="N27" s="38">
        <v>528</v>
      </c>
      <c r="O27" s="39">
        <f>SUM(C27:N27)</f>
        <v>106646</v>
      </c>
    </row>
    <row r="28" spans="2:15" x14ac:dyDescent="0.25">
      <c r="B28" s="40" t="s">
        <v>262</v>
      </c>
      <c r="C28" s="27">
        <f>C24/C27</f>
        <v>372.07921775103421</v>
      </c>
      <c r="D28" s="27">
        <f>D24/D27</f>
        <v>37.717957787996696</v>
      </c>
      <c r="E28" s="27">
        <f>E24/E27</f>
        <v>509.0132267842381</v>
      </c>
      <c r="F28" s="27">
        <f>F24/F27</f>
        <v>50.328000000000003</v>
      </c>
      <c r="G28" s="27">
        <f>G24/G27</f>
        <v>48.8</v>
      </c>
      <c r="H28" s="27"/>
      <c r="I28" s="27">
        <f>I24/I27</f>
        <v>207.89205702647658</v>
      </c>
      <c r="J28" s="27">
        <f>J24/J27</f>
        <v>16.208661417322833</v>
      </c>
      <c r="K28" s="27">
        <f>K24/K27</f>
        <v>41.4</v>
      </c>
      <c r="L28" s="27"/>
      <c r="M28" s="17">
        <v>358.20716685330348</v>
      </c>
      <c r="N28" s="27">
        <f>N24/N27</f>
        <v>41.799242424242422</v>
      </c>
      <c r="O28" s="41">
        <v>161.02675383182546</v>
      </c>
    </row>
  </sheetData>
  <pageMargins left="0.7" right="0.7" top="0.75" bottom="0.75" header="0.3" footer="0.3"/>
  <pageSetup paperSize="9" orientation="portrait" horizontalDpi="4294967293"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73A5E1-DC98-445C-9092-6C0DA550844E}">
  <dimension ref="A2:W65"/>
  <sheetViews>
    <sheetView showGridLines="0" topLeftCell="A38" zoomScale="73" zoomScaleNormal="73" workbookViewId="0">
      <selection activeCell="F55" sqref="F55"/>
    </sheetView>
  </sheetViews>
  <sheetFormatPr baseColWidth="10" defaultColWidth="8.88671875" defaultRowHeight="13.2" x14ac:dyDescent="0.25"/>
  <cols>
    <col min="1" max="1" width="29.88671875" style="42" customWidth="1"/>
    <col min="2" max="2" width="21.6640625" style="42" customWidth="1"/>
    <col min="3" max="3" width="23.88671875" style="42" bestFit="1" customWidth="1"/>
    <col min="4" max="4" width="16.88671875" style="42" customWidth="1"/>
    <col min="5" max="5" width="15.109375" style="42" bestFit="1" customWidth="1"/>
    <col min="6" max="6" width="13.44140625" style="42" bestFit="1" customWidth="1"/>
    <col min="7" max="7" width="15.44140625" style="42" customWidth="1"/>
    <col min="8" max="8" width="12.88671875" style="42" bestFit="1" customWidth="1"/>
    <col min="9" max="9" width="19.5546875" style="42" customWidth="1"/>
    <col min="10" max="10" width="13.6640625" style="42" customWidth="1"/>
    <col min="11" max="11" width="15.33203125" style="42" customWidth="1"/>
    <col min="12" max="12" width="12.109375" style="42" customWidth="1"/>
    <col min="13" max="13" width="22.44140625" style="42" customWidth="1"/>
    <col min="14" max="14" width="11.5546875" style="42" customWidth="1"/>
    <col min="15" max="15" width="17.109375" style="42" customWidth="1"/>
    <col min="16" max="32" width="8.88671875" style="42"/>
    <col min="33" max="33" width="37" style="42" customWidth="1"/>
    <col min="34" max="34" width="37.109375" style="42" customWidth="1"/>
    <col min="35" max="35" width="18.44140625" style="42" customWidth="1"/>
    <col min="36" max="36" width="14.33203125" style="42" customWidth="1"/>
    <col min="37" max="37" width="15.44140625" style="42" customWidth="1"/>
    <col min="38" max="38" width="15.33203125" style="42" customWidth="1"/>
    <col min="39" max="39" width="13.6640625" style="42" customWidth="1"/>
    <col min="40" max="40" width="14.33203125" style="42" customWidth="1"/>
    <col min="41" max="41" width="13.88671875" style="42" customWidth="1"/>
    <col min="42" max="42" width="15.109375" style="42" customWidth="1"/>
    <col min="43" max="43" width="14.44140625" style="42" customWidth="1"/>
    <col min="44" max="44" width="13.5546875" style="42" customWidth="1"/>
    <col min="45" max="45" width="14" style="42" customWidth="1"/>
    <col min="46" max="16384" width="8.88671875" style="42"/>
  </cols>
  <sheetData>
    <row r="2" spans="1:23" ht="14.4" customHeight="1" x14ac:dyDescent="0.25">
      <c r="A2" s="42" t="s">
        <v>264</v>
      </c>
      <c r="B2" s="42" t="s">
        <v>265</v>
      </c>
      <c r="M2" s="42" t="s">
        <v>266</v>
      </c>
    </row>
    <row r="3" spans="1:23" s="47" customFormat="1" ht="52.8" x14ac:dyDescent="0.3">
      <c r="A3" s="43"/>
      <c r="B3" s="44" t="s">
        <v>267</v>
      </c>
      <c r="C3" s="44" t="s">
        <v>118</v>
      </c>
      <c r="D3" s="44" t="s">
        <v>123</v>
      </c>
      <c r="E3" s="45" t="s">
        <v>117</v>
      </c>
      <c r="F3" s="45" t="s">
        <v>268</v>
      </c>
      <c r="G3" s="45" t="s">
        <v>269</v>
      </c>
      <c r="H3" s="46" t="s">
        <v>119</v>
      </c>
      <c r="I3" s="46" t="s">
        <v>120</v>
      </c>
      <c r="J3" s="46" t="s">
        <v>121</v>
      </c>
      <c r="K3" s="46" t="s">
        <v>122</v>
      </c>
      <c r="M3" s="43"/>
      <c r="N3" s="44" t="s">
        <v>267</v>
      </c>
      <c r="O3" s="44" t="s">
        <v>118</v>
      </c>
      <c r="P3" s="44" t="s">
        <v>123</v>
      </c>
      <c r="Q3" s="45" t="s">
        <v>117</v>
      </c>
      <c r="R3" s="45" t="s">
        <v>268</v>
      </c>
      <c r="S3" s="45" t="s">
        <v>269</v>
      </c>
      <c r="T3" s="46" t="s">
        <v>119</v>
      </c>
      <c r="U3" s="46" t="s">
        <v>120</v>
      </c>
      <c r="V3" s="46" t="s">
        <v>121</v>
      </c>
      <c r="W3" s="46" t="s">
        <v>122</v>
      </c>
    </row>
    <row r="4" spans="1:23" ht="14.4" x14ac:dyDescent="0.3">
      <c r="A4" s="2" t="s">
        <v>106</v>
      </c>
      <c r="B4" s="48">
        <v>4750297.1178149972</v>
      </c>
      <c r="C4" s="48">
        <v>771598.31285574764</v>
      </c>
      <c r="D4" s="48">
        <v>776716.74089079746</v>
      </c>
      <c r="E4" s="49">
        <f t="shared" ref="E4:F8" si="0">B4+C4</f>
        <v>5521895.4306707447</v>
      </c>
      <c r="F4" s="49">
        <f t="shared" si="0"/>
        <v>1548315.0537465452</v>
      </c>
      <c r="G4" s="49">
        <f>SUM(B4:D4)</f>
        <v>6298612.171561542</v>
      </c>
      <c r="H4" s="50">
        <v>116396.26479939079</v>
      </c>
      <c r="I4" s="50">
        <v>2208933.3853033721</v>
      </c>
      <c r="J4" s="50"/>
      <c r="K4" s="50">
        <v>918132.60040928319</v>
      </c>
      <c r="M4" s="2" t="s">
        <v>106</v>
      </c>
      <c r="N4" s="51">
        <f>B4/B$4</f>
        <v>1</v>
      </c>
      <c r="O4" s="51">
        <f t="shared" ref="N4:W9" si="1">C4/C$4</f>
        <v>1</v>
      </c>
      <c r="P4" s="51">
        <f t="shared" si="1"/>
        <v>1</v>
      </c>
      <c r="Q4" s="51">
        <f t="shared" si="1"/>
        <v>1</v>
      </c>
      <c r="R4" s="51">
        <f t="shared" si="1"/>
        <v>1</v>
      </c>
      <c r="S4" s="51">
        <f t="shared" si="1"/>
        <v>1</v>
      </c>
      <c r="T4" s="51">
        <f t="shared" si="1"/>
        <v>1</v>
      </c>
      <c r="U4" s="51">
        <f t="shared" si="1"/>
        <v>1</v>
      </c>
      <c r="V4" s="51"/>
      <c r="W4" s="51">
        <f t="shared" si="1"/>
        <v>1</v>
      </c>
    </row>
    <row r="5" spans="1:23" ht="14.4" x14ac:dyDescent="0.3">
      <c r="A5" s="2" t="s">
        <v>107</v>
      </c>
      <c r="B5" s="48">
        <v>3908771.83212659</v>
      </c>
      <c r="C5" s="48">
        <v>604180.51494538214</v>
      </c>
      <c r="D5" s="48">
        <v>583118.00610752124</v>
      </c>
      <c r="E5" s="49">
        <f t="shared" si="0"/>
        <v>4512952.3470719717</v>
      </c>
      <c r="F5" s="49">
        <f t="shared" si="0"/>
        <v>1187298.5210529035</v>
      </c>
      <c r="G5" s="49">
        <f>SUM(B5:D5)</f>
        <v>5096070.353179493</v>
      </c>
      <c r="H5" s="50">
        <v>91598.239560756963</v>
      </c>
      <c r="I5" s="50">
        <v>1899830.0733844887</v>
      </c>
      <c r="J5" s="50">
        <v>0</v>
      </c>
      <c r="K5" s="50">
        <v>709261.81418783788</v>
      </c>
      <c r="M5" s="2" t="s">
        <v>270</v>
      </c>
      <c r="N5" s="51">
        <f t="shared" si="1"/>
        <v>0.8228478630247269</v>
      </c>
      <c r="O5" s="51">
        <f t="shared" si="1"/>
        <v>0.7830246708410511</v>
      </c>
      <c r="P5" s="51">
        <f t="shared" si="1"/>
        <v>0.75074731289911101</v>
      </c>
      <c r="Q5" s="51">
        <f>E5/E$4</f>
        <v>0.81728319627446899</v>
      </c>
      <c r="R5" s="51">
        <f t="shared" si="1"/>
        <v>0.7668326405403928</v>
      </c>
      <c r="S5" s="51">
        <f t="shared" si="1"/>
        <v>0.80907828810105686</v>
      </c>
      <c r="T5" s="51">
        <f t="shared" si="1"/>
        <v>0.78695170947819271</v>
      </c>
      <c r="U5" s="51">
        <f>I5/I$4</f>
        <v>0.86006671184589323</v>
      </c>
      <c r="V5" s="51"/>
      <c r="W5" s="51">
        <f t="shared" si="1"/>
        <v>0.77250477095755521</v>
      </c>
    </row>
    <row r="6" spans="1:23" ht="14.4" x14ac:dyDescent="0.3">
      <c r="A6" s="2" t="s">
        <v>271</v>
      </c>
      <c r="B6" s="48">
        <v>2724213.9308187524</v>
      </c>
      <c r="C6" s="48">
        <v>411987.54683669296</v>
      </c>
      <c r="D6" s="48">
        <v>130273.27653743853</v>
      </c>
      <c r="E6" s="49">
        <f t="shared" si="0"/>
        <v>3136201.4776554452</v>
      </c>
      <c r="F6" s="49">
        <f t="shared" si="0"/>
        <v>542260.82337413146</v>
      </c>
      <c r="G6" s="49">
        <f>SUM(B6:D6)</f>
        <v>3266474.7541928836</v>
      </c>
      <c r="H6" s="50">
        <v>79583.434582006783</v>
      </c>
      <c r="I6" s="50">
        <v>1027014.2931312862</v>
      </c>
      <c r="J6" s="50">
        <v>0</v>
      </c>
      <c r="K6" s="50">
        <v>304548.11321313446</v>
      </c>
      <c r="M6" s="2" t="s">
        <v>271</v>
      </c>
      <c r="N6" s="51">
        <f t="shared" si="1"/>
        <v>0.57348285028365009</v>
      </c>
      <c r="O6" s="51">
        <f t="shared" si="1"/>
        <v>0.533940445400786</v>
      </c>
      <c r="P6" s="51">
        <f t="shared" si="1"/>
        <v>0.16772301880352328</v>
      </c>
      <c r="Q6" s="51">
        <f>E6/E$4</f>
        <v>0.56795741915643094</v>
      </c>
      <c r="R6" s="51">
        <f t="shared" si="1"/>
        <v>0.35022641035620777</v>
      </c>
      <c r="S6" s="51">
        <f t="shared" si="1"/>
        <v>0.51860229924000301</v>
      </c>
      <c r="T6" s="51">
        <f t="shared" si="1"/>
        <v>0.6837284230655426</v>
      </c>
      <c r="U6" s="51">
        <f t="shared" si="1"/>
        <v>0.46493674275751751</v>
      </c>
      <c r="V6" s="51"/>
      <c r="W6" s="51">
        <f t="shared" si="1"/>
        <v>0.33170384438737244</v>
      </c>
    </row>
    <row r="7" spans="1:23" ht="14.4" x14ac:dyDescent="0.3">
      <c r="A7" s="2" t="s">
        <v>272</v>
      </c>
      <c r="B7" s="48">
        <v>1197790.4102284014</v>
      </c>
      <c r="C7" s="48">
        <v>221129.25805782125</v>
      </c>
      <c r="D7" s="52">
        <v>96077.938766733554</v>
      </c>
      <c r="E7" s="49">
        <f t="shared" si="0"/>
        <v>1418919.6682862227</v>
      </c>
      <c r="F7" s="49">
        <f t="shared" si="0"/>
        <v>317207.19682455482</v>
      </c>
      <c r="G7" s="49">
        <f>SUM(B7:D7)</f>
        <v>1514997.6070529562</v>
      </c>
      <c r="H7" s="50">
        <v>29254.93960226496</v>
      </c>
      <c r="I7" s="50">
        <v>173888.86389578076</v>
      </c>
      <c r="J7" s="50">
        <v>0</v>
      </c>
      <c r="K7" s="50">
        <v>190013.66855473511</v>
      </c>
      <c r="M7" s="2" t="s">
        <v>272</v>
      </c>
      <c r="N7" s="51">
        <f t="shared" si="1"/>
        <v>0.25215062984930747</v>
      </c>
      <c r="O7" s="51">
        <f t="shared" si="1"/>
        <v>0.28658597922460977</v>
      </c>
      <c r="P7" s="51">
        <f t="shared" si="1"/>
        <v>0.12369752537655376</v>
      </c>
      <c r="Q7" s="51">
        <f t="shared" si="1"/>
        <v>0.25696243003896702</v>
      </c>
      <c r="R7" s="51">
        <f t="shared" si="1"/>
        <v>0.20487251354754363</v>
      </c>
      <c r="S7" s="51">
        <f t="shared" si="1"/>
        <v>0.24052879678688971</v>
      </c>
      <c r="T7" s="51">
        <f t="shared" si="1"/>
        <v>0.25133916155029468</v>
      </c>
      <c r="U7" s="51">
        <f t="shared" si="1"/>
        <v>7.8720736918872311E-2</v>
      </c>
      <c r="V7" s="51"/>
      <c r="W7" s="51">
        <f t="shared" si="1"/>
        <v>0.20695667321913111</v>
      </c>
    </row>
    <row r="8" spans="1:23" ht="14.4" x14ac:dyDescent="0.3">
      <c r="A8" s="2" t="s">
        <v>273</v>
      </c>
      <c r="B8" s="53">
        <v>923575.66080837301</v>
      </c>
      <c r="C8" s="53">
        <v>11333.342667546605</v>
      </c>
      <c r="D8" s="53">
        <v>7762.5900737617685</v>
      </c>
      <c r="E8" s="53">
        <f t="shared" si="0"/>
        <v>934909.0034759196</v>
      </c>
      <c r="F8" s="53">
        <f t="shared" si="0"/>
        <v>19095.932741308374</v>
      </c>
      <c r="G8" s="53">
        <f>SUM(B8:D8)</f>
        <v>942671.59354968136</v>
      </c>
      <c r="H8" s="50">
        <v>0</v>
      </c>
      <c r="I8" s="50">
        <v>856505.5391423296</v>
      </c>
      <c r="J8" s="50">
        <v>0</v>
      </c>
      <c r="K8" s="50"/>
      <c r="M8" s="2" t="s">
        <v>273</v>
      </c>
      <c r="N8" s="54">
        <f>B8/B$4</f>
        <v>0.19442481973279005</v>
      </c>
      <c r="O8" s="54">
        <f t="shared" si="1"/>
        <v>1.4688138217411323E-2</v>
      </c>
      <c r="P8" s="54">
        <f t="shared" si="1"/>
        <v>9.9941068153868336E-3</v>
      </c>
      <c r="Q8" s="54">
        <f t="shared" si="1"/>
        <v>0.16930943644515126</v>
      </c>
      <c r="R8" s="54">
        <f t="shared" si="1"/>
        <v>1.2333363739570231E-2</v>
      </c>
      <c r="S8" s="54">
        <f t="shared" si="1"/>
        <v>0.14966338105493734</v>
      </c>
      <c r="T8" s="54">
        <f t="shared" si="1"/>
        <v>0</v>
      </c>
      <c r="U8" s="54">
        <f t="shared" si="1"/>
        <v>0.38774620585704</v>
      </c>
      <c r="V8" s="54"/>
      <c r="W8" s="54">
        <f t="shared" si="1"/>
        <v>0</v>
      </c>
    </row>
    <row r="9" spans="1:23" ht="14.4" x14ac:dyDescent="0.3">
      <c r="A9" s="2" t="s">
        <v>111</v>
      </c>
      <c r="B9" s="53">
        <f>B5-(B6+B8)</f>
        <v>260982.24049946433</v>
      </c>
      <c r="C9" s="53">
        <f t="shared" ref="C9:K9" si="2">C5-(C6+C8)</f>
        <v>180859.62544114259</v>
      </c>
      <c r="D9" s="53">
        <f t="shared" si="2"/>
        <v>445082.13949632098</v>
      </c>
      <c r="E9" s="53">
        <f t="shared" si="2"/>
        <v>441841.86594060715</v>
      </c>
      <c r="F9" s="53">
        <f t="shared" si="2"/>
        <v>625941.76493746368</v>
      </c>
      <c r="G9" s="53">
        <f t="shared" si="2"/>
        <v>886924.00543692801</v>
      </c>
      <c r="H9" s="53">
        <f t="shared" si="2"/>
        <v>12014.80497875018</v>
      </c>
      <c r="I9" s="53">
        <f t="shared" si="2"/>
        <v>16310.241110872943</v>
      </c>
      <c r="J9" s="53">
        <f t="shared" si="2"/>
        <v>0</v>
      </c>
      <c r="K9" s="53">
        <f t="shared" si="2"/>
        <v>404713.70097470342</v>
      </c>
      <c r="M9" s="2" t="s">
        <v>111</v>
      </c>
      <c r="N9" s="54">
        <f>B9/B$4</f>
        <v>5.4940193008286772E-2</v>
      </c>
      <c r="O9" s="54">
        <f t="shared" si="1"/>
        <v>0.23439608722285371</v>
      </c>
      <c r="P9" s="54">
        <f t="shared" si="1"/>
        <v>0.57303018728020094</v>
      </c>
      <c r="Q9" s="54">
        <f t="shared" si="1"/>
        <v>8.0016340672886779E-2</v>
      </c>
      <c r="R9" s="54">
        <f t="shared" si="1"/>
        <v>0.4042728664446148</v>
      </c>
      <c r="S9" s="54">
        <f t="shared" si="1"/>
        <v>0.14081260780611662</v>
      </c>
      <c r="T9" s="54">
        <f t="shared" si="1"/>
        <v>0.10322328641265012</v>
      </c>
      <c r="U9" s="54">
        <f t="shared" si="1"/>
        <v>7.3837632313357047E-3</v>
      </c>
      <c r="V9" s="54"/>
      <c r="W9" s="54">
        <f t="shared" si="1"/>
        <v>0.44080092657018277</v>
      </c>
    </row>
    <row r="10" spans="1:23" ht="14.4" x14ac:dyDescent="0.3">
      <c r="A10" s="42" t="s">
        <v>274</v>
      </c>
      <c r="B10" s="42" t="s">
        <v>265</v>
      </c>
      <c r="C10" s="56"/>
      <c r="D10" s="56"/>
      <c r="F10" s="56"/>
      <c r="H10" s="55"/>
      <c r="I10" s="55"/>
      <c r="J10" s="55"/>
      <c r="K10" s="55"/>
      <c r="M10" s="42" t="s">
        <v>275</v>
      </c>
      <c r="N10" s="56"/>
      <c r="O10" s="56"/>
      <c r="P10" s="56"/>
      <c r="Q10" s="56"/>
      <c r="R10" s="56"/>
    </row>
    <row r="11" spans="1:23" s="47" customFormat="1" ht="28.95" customHeight="1" x14ac:dyDescent="0.3">
      <c r="B11" s="45" t="s">
        <v>267</v>
      </c>
      <c r="C11" s="45" t="s">
        <v>118</v>
      </c>
      <c r="D11" s="45" t="s">
        <v>123</v>
      </c>
      <c r="E11" s="45" t="s">
        <v>117</v>
      </c>
      <c r="F11" s="45" t="s">
        <v>268</v>
      </c>
      <c r="G11" s="45" t="s">
        <v>269</v>
      </c>
      <c r="H11" s="46" t="s">
        <v>119</v>
      </c>
      <c r="I11" s="46" t="s">
        <v>120</v>
      </c>
      <c r="J11" s="46" t="s">
        <v>121</v>
      </c>
      <c r="K11" s="46" t="s">
        <v>122</v>
      </c>
      <c r="L11" s="57"/>
      <c r="N11" s="45" t="s">
        <v>267</v>
      </c>
      <c r="O11" s="45" t="s">
        <v>118</v>
      </c>
      <c r="P11" s="45" t="s">
        <v>123</v>
      </c>
      <c r="Q11" s="45" t="s">
        <v>117</v>
      </c>
      <c r="R11" s="45" t="s">
        <v>268</v>
      </c>
      <c r="S11" s="45" t="s">
        <v>269</v>
      </c>
      <c r="T11" s="46" t="s">
        <v>119</v>
      </c>
      <c r="U11" s="46" t="s">
        <v>120</v>
      </c>
      <c r="V11" s="46" t="s">
        <v>121</v>
      </c>
      <c r="W11" s="46" t="s">
        <v>122</v>
      </c>
    </row>
    <row r="12" spans="1:23" ht="14.4" x14ac:dyDescent="0.3">
      <c r="A12" s="2" t="s">
        <v>276</v>
      </c>
      <c r="B12" s="49">
        <v>3415749.802378037</v>
      </c>
      <c r="C12" s="49">
        <v>425883.81663184834</v>
      </c>
      <c r="D12" s="49">
        <v>184669.90119201862</v>
      </c>
      <c r="E12" s="49">
        <f>B12+C12</f>
        <v>3841633.6190098855</v>
      </c>
      <c r="F12" s="49">
        <f>C12+D12</f>
        <v>610553.71782386699</v>
      </c>
      <c r="G12" s="49">
        <f>SUM(B12:D12)</f>
        <v>4026303.5202019042</v>
      </c>
      <c r="H12" s="48">
        <v>74449.186203798294</v>
      </c>
      <c r="I12" s="50">
        <v>1884027.2733396452</v>
      </c>
      <c r="J12" s="50">
        <v>0</v>
      </c>
      <c r="K12" s="50">
        <v>176986.02579812385</v>
      </c>
      <c r="L12" s="56"/>
      <c r="M12" s="2" t="s">
        <v>276</v>
      </c>
      <c r="N12" s="51">
        <f t="shared" ref="N12:U16" si="3">B12/B$4</f>
        <v>0.71906024353044795</v>
      </c>
      <c r="O12" s="51">
        <f t="shared" si="3"/>
        <v>0.55195016569647226</v>
      </c>
      <c r="P12" s="51">
        <f t="shared" si="3"/>
        <v>0.23775707599687529</v>
      </c>
      <c r="Q12" s="51">
        <f t="shared" si="3"/>
        <v>0.69570923014441111</v>
      </c>
      <c r="R12" s="51">
        <f t="shared" si="3"/>
        <v>0.39433429026377786</v>
      </c>
      <c r="S12" s="51">
        <f t="shared" si="3"/>
        <v>0.63923661443719426</v>
      </c>
      <c r="T12" s="51">
        <f t="shared" si="3"/>
        <v>0.63961834455866451</v>
      </c>
      <c r="U12" s="51">
        <f t="shared" si="3"/>
        <v>0.85291267082773314</v>
      </c>
      <c r="V12" s="51"/>
      <c r="W12" s="51">
        <f>K12/K$4</f>
        <v>0.19276739080959265</v>
      </c>
    </row>
    <row r="13" spans="1:23" ht="14.4" x14ac:dyDescent="0.3">
      <c r="A13" s="2" t="s">
        <v>277</v>
      </c>
      <c r="B13" s="58">
        <v>2390296.9689949872</v>
      </c>
      <c r="C13" s="58">
        <v>338461.39979298762</v>
      </c>
      <c r="D13" s="58">
        <v>88983.21990234447</v>
      </c>
      <c r="E13" s="49">
        <f>B13+C13</f>
        <v>2728758.3687879751</v>
      </c>
      <c r="F13" s="49">
        <f>C13+D13</f>
        <v>427444.61969533208</v>
      </c>
      <c r="G13" s="49">
        <f>SUM(B13:D13)</f>
        <v>2817741.5886903196</v>
      </c>
      <c r="H13" s="48">
        <v>68746.732275403454</v>
      </c>
      <c r="I13" s="50">
        <v>1014268.8775385468</v>
      </c>
      <c r="J13" s="50">
        <v>0</v>
      </c>
      <c r="K13" s="50">
        <v>109002.37264342526</v>
      </c>
      <c r="L13" s="56"/>
      <c r="M13" s="2" t="s">
        <v>277</v>
      </c>
      <c r="N13" s="51">
        <f t="shared" si="3"/>
        <v>0.50318893949405341</v>
      </c>
      <c r="O13" s="51">
        <f t="shared" si="3"/>
        <v>0.43864974061479561</v>
      </c>
      <c r="P13" s="51">
        <f t="shared" si="3"/>
        <v>0.11456328313497117</v>
      </c>
      <c r="Q13" s="51">
        <f t="shared" si="3"/>
        <v>0.49417059831147742</v>
      </c>
      <c r="R13" s="51">
        <f t="shared" si="3"/>
        <v>0.27607082851840797</v>
      </c>
      <c r="S13" s="51">
        <f t="shared" si="3"/>
        <v>0.44735911847573712</v>
      </c>
      <c r="T13" s="51">
        <f t="shared" si="3"/>
        <v>0.59062661842189346</v>
      </c>
      <c r="U13" s="51">
        <f t="shared" si="3"/>
        <v>0.45916680162776768</v>
      </c>
      <c r="V13" s="51"/>
      <c r="W13" s="51">
        <f>K13/K$4</f>
        <v>0.11872181926100263</v>
      </c>
    </row>
    <row r="14" spans="1:23" ht="22.2" customHeight="1" x14ac:dyDescent="0.3">
      <c r="A14" s="2" t="s">
        <v>278</v>
      </c>
      <c r="B14" s="58">
        <v>104507.319784013</v>
      </c>
      <c r="C14" s="58">
        <v>66252.598439551031</v>
      </c>
      <c r="D14" s="58">
        <v>84888.819352019476</v>
      </c>
      <c r="E14" s="49">
        <f>D14+G14</f>
        <v>340537.55692760297</v>
      </c>
      <c r="F14" s="49">
        <f>C14+D14</f>
        <v>151141.41779157051</v>
      </c>
      <c r="G14" s="49">
        <f>SUM(B14:D14)</f>
        <v>255648.73757558351</v>
      </c>
      <c r="H14" s="48">
        <v>5439.2598501266448</v>
      </c>
      <c r="I14" s="50">
        <v>1175.4542276620489</v>
      </c>
      <c r="J14" s="50">
        <v>0</v>
      </c>
      <c r="K14" s="50">
        <v>51839.361785545378</v>
      </c>
      <c r="L14" s="56"/>
      <c r="M14" s="2" t="s">
        <v>278</v>
      </c>
      <c r="N14" s="51">
        <f t="shared" si="3"/>
        <v>2.200016487223086E-2</v>
      </c>
      <c r="O14" s="51">
        <f t="shared" si="3"/>
        <v>8.5864104853138959E-2</v>
      </c>
      <c r="P14" s="51">
        <f t="shared" si="3"/>
        <v>0.10929186263535734</v>
      </c>
      <c r="Q14" s="51">
        <f t="shared" si="3"/>
        <v>6.1670410315292384E-2</v>
      </c>
      <c r="R14" s="51">
        <f t="shared" si="3"/>
        <v>9.7616707546597251E-2</v>
      </c>
      <c r="S14" s="51">
        <f t="shared" si="3"/>
        <v>4.0588105857643796E-2</v>
      </c>
      <c r="T14" s="51">
        <f t="shared" si="3"/>
        <v>4.6730536065751088E-2</v>
      </c>
      <c r="U14" s="51">
        <f t="shared" si="3"/>
        <v>5.3213656667179825E-4</v>
      </c>
      <c r="V14" s="51"/>
      <c r="W14" s="51">
        <f>K14/K$4</f>
        <v>5.6461737403112076E-2</v>
      </c>
    </row>
    <row r="15" spans="1:23" ht="14.4" x14ac:dyDescent="0.3">
      <c r="A15" s="2" t="s">
        <v>279</v>
      </c>
      <c r="B15" s="49">
        <v>164174.58646991456</v>
      </c>
      <c r="C15" s="49">
        <v>37850.747921696384</v>
      </c>
      <c r="D15" s="49">
        <v>12955.855852819732</v>
      </c>
      <c r="E15" s="49">
        <f>D15+G15</f>
        <v>227937.04609725042</v>
      </c>
      <c r="F15" s="49">
        <f>C15+D15</f>
        <v>50806.603774516116</v>
      </c>
      <c r="G15" s="49">
        <f>SUM(B15:D15)</f>
        <v>214981.19024443068</v>
      </c>
      <c r="H15" s="48">
        <v>35120.833438447691</v>
      </c>
      <c r="I15" s="50">
        <v>23136.635470837446</v>
      </c>
      <c r="J15" s="50">
        <v>0</v>
      </c>
      <c r="K15" s="50">
        <v>18655.176436269474</v>
      </c>
      <c r="L15" s="56"/>
      <c r="M15" s="2" t="s">
        <v>279</v>
      </c>
      <c r="N15" s="51">
        <f t="shared" si="3"/>
        <v>3.4560909012240952E-2</v>
      </c>
      <c r="O15" s="51">
        <f t="shared" si="3"/>
        <v>4.9054990519105349E-2</v>
      </c>
      <c r="P15" s="51">
        <f t="shared" si="3"/>
        <v>1.6680284035027977E-2</v>
      </c>
      <c r="Q15" s="51">
        <f t="shared" si="3"/>
        <v>4.1278769031227909E-2</v>
      </c>
      <c r="R15" s="51">
        <f t="shared" si="3"/>
        <v>3.2814125039717541E-2</v>
      </c>
      <c r="S15" s="51">
        <f t="shared" si="3"/>
        <v>3.4131517291234155E-2</v>
      </c>
      <c r="T15" s="51">
        <f t="shared" si="3"/>
        <v>0.30173505566504666</v>
      </c>
      <c r="U15" s="51">
        <f t="shared" si="3"/>
        <v>1.047412096026603E-2</v>
      </c>
      <c r="V15" s="51"/>
      <c r="W15" s="51">
        <f>K15/K$4</f>
        <v>2.0318608039790124E-2</v>
      </c>
    </row>
    <row r="16" spans="1:23" ht="14.4" x14ac:dyDescent="0.3">
      <c r="A16" s="2" t="s">
        <v>280</v>
      </c>
      <c r="B16" s="59">
        <v>898862.15170186944</v>
      </c>
      <c r="C16" s="59">
        <v>7301.166109060051</v>
      </c>
      <c r="D16" s="59">
        <v>1428.1903505704404</v>
      </c>
      <c r="E16" s="53">
        <f>D16+G16</f>
        <v>909019.69851207046</v>
      </c>
      <c r="F16" s="53">
        <f>C16+D16</f>
        <v>8729.3564596304914</v>
      </c>
      <c r="G16" s="53">
        <f>SUM(B16:D16)</f>
        <v>907591.50816149998</v>
      </c>
      <c r="H16" s="48">
        <v>0</v>
      </c>
      <c r="I16" s="50">
        <v>854449.35573962599</v>
      </c>
      <c r="J16" s="50">
        <v>0</v>
      </c>
      <c r="K16" s="50">
        <v>9274.7785862703749</v>
      </c>
      <c r="L16" s="56"/>
      <c r="M16" s="2" t="s">
        <v>280</v>
      </c>
      <c r="N16" s="54">
        <f t="shared" si="3"/>
        <v>0.18922230113372795</v>
      </c>
      <c r="O16" s="54">
        <f t="shared" si="3"/>
        <v>9.4623925265438259E-3</v>
      </c>
      <c r="P16" s="54">
        <f t="shared" si="3"/>
        <v>1.8387531456222814E-3</v>
      </c>
      <c r="Q16" s="54">
        <f t="shared" si="3"/>
        <v>0.16462095487412223</v>
      </c>
      <c r="R16" s="54">
        <f t="shared" si="3"/>
        <v>5.6379717025340391E-3</v>
      </c>
      <c r="S16" s="54">
        <f t="shared" si="3"/>
        <v>0.14409388662780476</v>
      </c>
      <c r="T16" s="54">
        <f t="shared" si="3"/>
        <v>0</v>
      </c>
      <c r="U16" s="54">
        <f t="shared" si="3"/>
        <v>0.3868153568706541</v>
      </c>
      <c r="V16" s="54"/>
      <c r="W16" s="54">
        <f>K16/K$4</f>
        <v>1.0101785496055673E-2</v>
      </c>
    </row>
    <row r="39" spans="1:11" x14ac:dyDescent="0.25">
      <c r="A39" s="2"/>
      <c r="B39" s="2" t="s">
        <v>267</v>
      </c>
      <c r="C39" s="2" t="s">
        <v>118</v>
      </c>
      <c r="D39" s="2" t="s">
        <v>123</v>
      </c>
      <c r="E39" s="2" t="s">
        <v>117</v>
      </c>
      <c r="F39" s="2" t="s">
        <v>268</v>
      </c>
      <c r="G39" s="2" t="s">
        <v>269</v>
      </c>
      <c r="H39" s="2" t="s">
        <v>119</v>
      </c>
      <c r="I39" s="2" t="s">
        <v>120</v>
      </c>
      <c r="J39" s="2" t="s">
        <v>121</v>
      </c>
      <c r="K39" s="2" t="s">
        <v>122</v>
      </c>
    </row>
    <row r="40" spans="1:11" x14ac:dyDescent="0.25">
      <c r="A40" s="2" t="s">
        <v>106</v>
      </c>
      <c r="B40" s="26">
        <v>4750297.1178149972</v>
      </c>
      <c r="C40" s="26">
        <v>771598.31285574764</v>
      </c>
      <c r="D40" s="26">
        <v>776716.74089079746</v>
      </c>
      <c r="E40" s="26">
        <v>5521895.4306707447</v>
      </c>
      <c r="F40" s="26">
        <v>1548315.0537465452</v>
      </c>
      <c r="G40" s="162">
        <f>E40+K40</f>
        <v>6440028.031080028</v>
      </c>
      <c r="H40" s="26">
        <v>116396.26479939079</v>
      </c>
      <c r="I40" s="26">
        <v>2208933.3853033721</v>
      </c>
      <c r="J40" s="26"/>
      <c r="K40" s="26">
        <v>918132.60040928319</v>
      </c>
    </row>
    <row r="41" spans="1:11" x14ac:dyDescent="0.25">
      <c r="A41" s="2" t="s">
        <v>107</v>
      </c>
      <c r="B41" s="26">
        <v>3908771.83212659</v>
      </c>
      <c r="C41" s="26">
        <v>604180.51494538214</v>
      </c>
      <c r="D41" s="26">
        <v>583118.00610752124</v>
      </c>
      <c r="E41" s="26">
        <v>4512952.3470719717</v>
      </c>
      <c r="F41" s="26">
        <v>1187298.5210529035</v>
      </c>
      <c r="G41" s="162">
        <f t="shared" ref="G41:G50" si="4">E41+K41</f>
        <v>5222214.1612598095</v>
      </c>
      <c r="H41" s="26">
        <v>91598.239560756963</v>
      </c>
      <c r="I41" s="26">
        <v>1899830.0733844887</v>
      </c>
      <c r="J41" s="26">
        <v>0</v>
      </c>
      <c r="K41" s="26">
        <v>709261.81418783788</v>
      </c>
    </row>
    <row r="42" spans="1:11" x14ac:dyDescent="0.25">
      <c r="A42" s="2" t="s">
        <v>108</v>
      </c>
      <c r="B42" s="26">
        <v>2724213.9308187524</v>
      </c>
      <c r="C42" s="26">
        <v>411987.54683669296</v>
      </c>
      <c r="D42" s="26">
        <v>130273.27653743853</v>
      </c>
      <c r="E42" s="26">
        <v>3136201.4776554452</v>
      </c>
      <c r="F42" s="26">
        <v>542260.82337413146</v>
      </c>
      <c r="G42" s="162">
        <f t="shared" si="4"/>
        <v>3440749.5908685797</v>
      </c>
      <c r="H42" s="26">
        <v>79583.434582006783</v>
      </c>
      <c r="I42" s="26">
        <v>1027014.2931312862</v>
      </c>
      <c r="J42" s="26">
        <v>0</v>
      </c>
      <c r="K42" s="26">
        <v>304548.11321313446</v>
      </c>
    </row>
    <row r="43" spans="1:11" x14ac:dyDescent="0.25">
      <c r="A43" s="2" t="s">
        <v>109</v>
      </c>
      <c r="B43" s="26">
        <v>1197790.4102284014</v>
      </c>
      <c r="C43" s="26">
        <v>221129.25805782125</v>
      </c>
      <c r="D43" s="26">
        <v>96077.938766733554</v>
      </c>
      <c r="E43" s="26">
        <v>1418919.6682862227</v>
      </c>
      <c r="F43" s="26">
        <v>317207.19682455482</v>
      </c>
      <c r="G43" s="162">
        <f t="shared" si="4"/>
        <v>1608933.3368409576</v>
      </c>
      <c r="H43" s="26">
        <v>29254.93960226496</v>
      </c>
      <c r="I43" s="26">
        <v>173888.86389578076</v>
      </c>
      <c r="J43" s="26">
        <v>0</v>
      </c>
      <c r="K43" s="26">
        <v>190013.66855473499</v>
      </c>
    </row>
    <row r="44" spans="1:11" ht="12.6" customHeight="1" x14ac:dyDescent="0.25">
      <c r="A44" s="2" t="s">
        <v>110</v>
      </c>
      <c r="B44" s="26">
        <v>923575.66080837301</v>
      </c>
      <c r="C44" s="26">
        <v>11333.342667546605</v>
      </c>
      <c r="D44" s="26">
        <v>7762.5900737617685</v>
      </c>
      <c r="E44" s="26">
        <v>934909.0034759196</v>
      </c>
      <c r="F44" s="26">
        <v>19095.932741308374</v>
      </c>
      <c r="G44" s="162">
        <f t="shared" si="4"/>
        <v>944447.93208191474</v>
      </c>
      <c r="H44" s="26">
        <v>0</v>
      </c>
      <c r="I44" s="26">
        <v>856505.5391423296</v>
      </c>
      <c r="J44" s="26">
        <v>0</v>
      </c>
      <c r="K44" s="26">
        <f>(K50/E50)*E44</f>
        <v>9538.9286059951046</v>
      </c>
    </row>
    <row r="45" spans="1:11" ht="12.6" customHeight="1" x14ac:dyDescent="0.25">
      <c r="A45" s="2" t="s">
        <v>111</v>
      </c>
      <c r="B45" s="26">
        <v>260982.24049946433</v>
      </c>
      <c r="C45" s="26">
        <v>180859.62544114259</v>
      </c>
      <c r="D45" s="26">
        <v>445082.13949632098</v>
      </c>
      <c r="E45" s="26">
        <v>441841.86594060715</v>
      </c>
      <c r="F45" s="26">
        <v>625941.76493746368</v>
      </c>
      <c r="G45" s="162">
        <f t="shared" si="4"/>
        <v>846555.56691531057</v>
      </c>
      <c r="H45" s="26">
        <v>12014.80497875018</v>
      </c>
      <c r="I45" s="26">
        <v>16310.241110872943</v>
      </c>
      <c r="J45" s="26">
        <v>0</v>
      </c>
      <c r="K45" s="26">
        <v>404713.70097470342</v>
      </c>
    </row>
    <row r="46" spans="1:11" x14ac:dyDescent="0.25">
      <c r="A46" s="2" t="s">
        <v>112</v>
      </c>
      <c r="B46" s="26">
        <v>3415749.802378037</v>
      </c>
      <c r="C46" s="26">
        <v>425883.81663184834</v>
      </c>
      <c r="D46" s="26">
        <v>184669.90119201862</v>
      </c>
      <c r="E46" s="26">
        <v>3841633.6190098855</v>
      </c>
      <c r="F46" s="26">
        <v>610553.71782386699</v>
      </c>
      <c r="G46" s="162">
        <f t="shared" si="4"/>
        <v>4018619.6448080093</v>
      </c>
      <c r="H46" s="26">
        <v>74449.186203798294</v>
      </c>
      <c r="I46" s="26">
        <v>1884027.2733396452</v>
      </c>
      <c r="J46" s="26">
        <v>0</v>
      </c>
      <c r="K46" s="26">
        <v>176986.02579812385</v>
      </c>
    </row>
    <row r="47" spans="1:11" x14ac:dyDescent="0.25">
      <c r="A47" s="2" t="s">
        <v>113</v>
      </c>
      <c r="B47" s="26">
        <v>2390296.9689949872</v>
      </c>
      <c r="C47" s="26">
        <v>338461.39979298762</v>
      </c>
      <c r="D47" s="26">
        <v>88983.21990234447</v>
      </c>
      <c r="E47" s="26">
        <v>2728758.3687879751</v>
      </c>
      <c r="F47" s="26">
        <v>427444.61969533208</v>
      </c>
      <c r="G47" s="162">
        <f t="shared" si="4"/>
        <v>2837760.7414314002</v>
      </c>
      <c r="H47" s="26">
        <v>68746.732275403454</v>
      </c>
      <c r="I47" s="26">
        <v>1014268.8775385468</v>
      </c>
      <c r="J47" s="26">
        <v>0</v>
      </c>
      <c r="K47" s="26">
        <v>109002.37264342526</v>
      </c>
    </row>
    <row r="48" spans="1:11" x14ac:dyDescent="0.25">
      <c r="A48" s="2" t="s">
        <v>114</v>
      </c>
      <c r="B48" s="26">
        <v>104507.319784013</v>
      </c>
      <c r="C48" s="26">
        <v>66252.598439551031</v>
      </c>
      <c r="D48" s="26">
        <v>84888.819352019476</v>
      </c>
      <c r="E48" s="26">
        <v>340537.55692760297</v>
      </c>
      <c r="F48" s="26">
        <v>151141.41779157051</v>
      </c>
      <c r="G48" s="162">
        <f t="shared" si="4"/>
        <v>392376.91871314833</v>
      </c>
      <c r="H48" s="26">
        <v>5439.2598501266448</v>
      </c>
      <c r="I48" s="26">
        <v>1175.4542276620489</v>
      </c>
      <c r="J48" s="26">
        <v>0</v>
      </c>
      <c r="K48" s="26">
        <v>51839.361785545378</v>
      </c>
    </row>
    <row r="49" spans="1:11" x14ac:dyDescent="0.25">
      <c r="A49" s="2" t="s">
        <v>115</v>
      </c>
      <c r="B49" s="26">
        <v>164174.58646991456</v>
      </c>
      <c r="C49" s="26">
        <v>37850.747921696384</v>
      </c>
      <c r="D49" s="26">
        <v>12955.855852819732</v>
      </c>
      <c r="E49" s="26">
        <v>227937.04609725042</v>
      </c>
      <c r="F49" s="26">
        <v>50806.603774516116</v>
      </c>
      <c r="G49" s="162">
        <f t="shared" si="4"/>
        <v>246592.2225335199</v>
      </c>
      <c r="H49" s="26">
        <v>35120.833438447691</v>
      </c>
      <c r="I49" s="26">
        <v>23136.635470837446</v>
      </c>
      <c r="J49" s="26">
        <v>0</v>
      </c>
      <c r="K49" s="26">
        <v>18655.176436269474</v>
      </c>
    </row>
    <row r="50" spans="1:11" x14ac:dyDescent="0.25">
      <c r="A50" s="2" t="s">
        <v>116</v>
      </c>
      <c r="B50" s="26">
        <v>898862.15170186944</v>
      </c>
      <c r="C50" s="26">
        <v>7301.166109060051</v>
      </c>
      <c r="D50" s="26">
        <v>1428.1903505704404</v>
      </c>
      <c r="E50" s="26">
        <v>909019.69851207046</v>
      </c>
      <c r="F50" s="26">
        <v>8729.3564596304914</v>
      </c>
      <c r="G50" s="162">
        <f t="shared" si="4"/>
        <v>918294.47709834087</v>
      </c>
      <c r="H50" s="26">
        <v>0</v>
      </c>
      <c r="I50" s="26">
        <v>854449.35573962599</v>
      </c>
      <c r="J50" s="26">
        <v>0</v>
      </c>
      <c r="K50" s="26">
        <v>9274.7785862703749</v>
      </c>
    </row>
    <row r="51" spans="1:11" x14ac:dyDescent="0.25">
      <c r="A51" s="42" t="s">
        <v>389</v>
      </c>
      <c r="B51" s="203">
        <f>B42-B43-B49</f>
        <v>1362248.9341204364</v>
      </c>
      <c r="C51" s="203">
        <f t="shared" ref="C51:K51" si="5">C42-C43-C49</f>
        <v>153007.54085717531</v>
      </c>
      <c r="D51" s="203">
        <f t="shared" si="5"/>
        <v>21239.481917885249</v>
      </c>
      <c r="E51" s="203">
        <f t="shared" si="5"/>
        <v>1489344.7632719721</v>
      </c>
      <c r="F51" s="203">
        <f t="shared" si="5"/>
        <v>174247.02277506053</v>
      </c>
      <c r="G51" s="203">
        <f t="shared" si="5"/>
        <v>1585224.0314941022</v>
      </c>
      <c r="H51" s="203">
        <f t="shared" si="5"/>
        <v>15207.661541294132</v>
      </c>
      <c r="I51" s="203">
        <f t="shared" si="5"/>
        <v>829988.79376466793</v>
      </c>
      <c r="J51" s="203">
        <f t="shared" si="5"/>
        <v>0</v>
      </c>
      <c r="K51" s="203">
        <f t="shared" si="5"/>
        <v>95879.268222129991</v>
      </c>
    </row>
    <row r="53" spans="1:11" x14ac:dyDescent="0.25">
      <c r="A53" s="2"/>
      <c r="B53" s="2" t="s">
        <v>267</v>
      </c>
      <c r="C53" s="2" t="s">
        <v>118</v>
      </c>
      <c r="D53" s="2" t="s">
        <v>123</v>
      </c>
      <c r="E53" s="2" t="s">
        <v>117</v>
      </c>
      <c r="F53" s="2" t="s">
        <v>268</v>
      </c>
      <c r="G53" s="2" t="s">
        <v>269</v>
      </c>
      <c r="H53" s="2" t="s">
        <v>119</v>
      </c>
      <c r="I53" s="2" t="s">
        <v>120</v>
      </c>
      <c r="J53" s="2" t="s">
        <v>121</v>
      </c>
      <c r="K53" s="2" t="s">
        <v>122</v>
      </c>
    </row>
    <row r="54" spans="1:11" x14ac:dyDescent="0.25">
      <c r="A54" s="2" t="s">
        <v>106</v>
      </c>
      <c r="B54" s="224">
        <f t="shared" ref="B54:B59" si="6">B40/B$40</f>
        <v>1</v>
      </c>
      <c r="C54" s="224">
        <f t="shared" ref="C54:K54" si="7">C40/C$40</f>
        <v>1</v>
      </c>
      <c r="D54" s="224">
        <f t="shared" si="7"/>
        <v>1</v>
      </c>
      <c r="E54" s="224">
        <f t="shared" si="7"/>
        <v>1</v>
      </c>
      <c r="F54" s="224">
        <f t="shared" si="7"/>
        <v>1</v>
      </c>
      <c r="G54" s="224">
        <f>G40/G$40</f>
        <v>1</v>
      </c>
      <c r="H54" s="224">
        <f t="shared" si="7"/>
        <v>1</v>
      </c>
      <c r="I54" s="224">
        <f t="shared" si="7"/>
        <v>1</v>
      </c>
      <c r="J54" s="224"/>
      <c r="K54" s="224">
        <f t="shared" si="7"/>
        <v>1</v>
      </c>
    </row>
    <row r="55" spans="1:11" x14ac:dyDescent="0.25">
      <c r="A55" s="2" t="s">
        <v>107</v>
      </c>
      <c r="B55" s="224">
        <f t="shared" si="6"/>
        <v>0.8228478630247269</v>
      </c>
      <c r="C55" s="224">
        <f t="shared" ref="C55:I58" si="8">C41/C$40</f>
        <v>0.7830246708410511</v>
      </c>
      <c r="D55" s="224">
        <f t="shared" si="8"/>
        <v>0.75074731289911101</v>
      </c>
      <c r="E55" s="224">
        <f t="shared" si="8"/>
        <v>0.81728319627446899</v>
      </c>
      <c r="F55" s="224">
        <f t="shared" si="8"/>
        <v>0.7668326405403928</v>
      </c>
      <c r="G55" s="224">
        <f t="shared" si="8"/>
        <v>0.8108992905088358</v>
      </c>
      <c r="H55" s="224">
        <f t="shared" si="8"/>
        <v>0.78695170947819271</v>
      </c>
      <c r="I55" s="224">
        <f t="shared" si="8"/>
        <v>0.86006671184589323</v>
      </c>
      <c r="J55" s="224"/>
      <c r="K55" s="224">
        <f>K41/K$40</f>
        <v>0.77250477095755521</v>
      </c>
    </row>
    <row r="56" spans="1:11" x14ac:dyDescent="0.25">
      <c r="A56" s="2" t="s">
        <v>108</v>
      </c>
      <c r="B56" s="224">
        <f t="shared" si="6"/>
        <v>0.57348285028365009</v>
      </c>
      <c r="C56" s="224">
        <f t="shared" si="8"/>
        <v>0.533940445400786</v>
      </c>
      <c r="D56" s="224">
        <f t="shared" si="8"/>
        <v>0.16772301880352328</v>
      </c>
      <c r="E56" s="224">
        <f t="shared" si="8"/>
        <v>0.56795741915643094</v>
      </c>
      <c r="F56" s="224">
        <f t="shared" si="8"/>
        <v>0.35022641035620777</v>
      </c>
      <c r="G56" s="224">
        <f t="shared" si="8"/>
        <v>0.53427556126514986</v>
      </c>
      <c r="H56" s="224">
        <f t="shared" si="8"/>
        <v>0.6837284230655426</v>
      </c>
      <c r="I56" s="224">
        <f t="shared" si="8"/>
        <v>0.46493674275751751</v>
      </c>
      <c r="J56" s="224"/>
      <c r="K56" s="224">
        <f>K42/K$40</f>
        <v>0.33170384438737244</v>
      </c>
    </row>
    <row r="57" spans="1:11" x14ac:dyDescent="0.25">
      <c r="A57" s="2" t="s">
        <v>109</v>
      </c>
      <c r="B57" s="224">
        <f t="shared" si="6"/>
        <v>0.25215062984930747</v>
      </c>
      <c r="C57" s="224">
        <f t="shared" si="8"/>
        <v>0.28658597922460977</v>
      </c>
      <c r="D57" s="224">
        <f t="shared" si="8"/>
        <v>0.12369752537655376</v>
      </c>
      <c r="E57" s="224">
        <f t="shared" si="8"/>
        <v>0.25696243003896702</v>
      </c>
      <c r="F57" s="224">
        <f t="shared" si="8"/>
        <v>0.20487251354754363</v>
      </c>
      <c r="G57" s="224">
        <f t="shared" si="8"/>
        <v>0.24983328163730534</v>
      </c>
      <c r="H57" s="224">
        <f t="shared" si="8"/>
        <v>0.25133916155029468</v>
      </c>
      <c r="I57" s="224">
        <f t="shared" si="8"/>
        <v>7.8720736918872311E-2</v>
      </c>
      <c r="J57" s="224"/>
      <c r="K57" s="224">
        <f>K43/K$40</f>
        <v>0.206956673219131</v>
      </c>
    </row>
    <row r="58" spans="1:11" x14ac:dyDescent="0.25">
      <c r="A58" s="2" t="s">
        <v>110</v>
      </c>
      <c r="B58" s="224">
        <f t="shared" si="6"/>
        <v>0.19442481973279005</v>
      </c>
      <c r="C58" s="224">
        <f t="shared" si="8"/>
        <v>1.4688138217411323E-2</v>
      </c>
      <c r="D58" s="224">
        <f t="shared" si="8"/>
        <v>9.9941068153868336E-3</v>
      </c>
      <c r="E58" s="224">
        <f t="shared" si="8"/>
        <v>0.16930943644515126</v>
      </c>
      <c r="F58" s="224">
        <f t="shared" si="8"/>
        <v>1.2333363739570231E-2</v>
      </c>
      <c r="G58" s="224">
        <f t="shared" si="8"/>
        <v>0.14665276727429485</v>
      </c>
      <c r="H58" s="224">
        <f t="shared" si="8"/>
        <v>0</v>
      </c>
      <c r="I58" s="224">
        <f t="shared" si="8"/>
        <v>0.38774620585704</v>
      </c>
      <c r="J58" s="224"/>
      <c r="K58" s="224">
        <f>K44/K$40</f>
        <v>1.0389489058272042E-2</v>
      </c>
    </row>
    <row r="59" spans="1:11" x14ac:dyDescent="0.25">
      <c r="A59" s="2" t="s">
        <v>111</v>
      </c>
      <c r="B59" s="224">
        <f t="shared" si="6"/>
        <v>5.4940193008286772E-2</v>
      </c>
      <c r="C59" s="224">
        <f t="shared" ref="C59:K59" si="9">C45/C$40</f>
        <v>0.23439608722285371</v>
      </c>
      <c r="D59" s="224">
        <f t="shared" si="9"/>
        <v>0.57303018728020094</v>
      </c>
      <c r="E59" s="224">
        <f t="shared" si="9"/>
        <v>8.0016340672886779E-2</v>
      </c>
      <c r="F59" s="224">
        <f t="shared" si="9"/>
        <v>0.4042728664446148</v>
      </c>
      <c r="G59" s="224">
        <f t="shared" si="9"/>
        <v>0.13145215561636905</v>
      </c>
      <c r="H59" s="224">
        <f t="shared" si="9"/>
        <v>0.10322328641265012</v>
      </c>
      <c r="I59" s="224">
        <f t="shared" si="9"/>
        <v>7.3837632313357047E-3</v>
      </c>
      <c r="J59" s="224"/>
      <c r="K59" s="224">
        <f t="shared" si="9"/>
        <v>0.44080092657018277</v>
      </c>
    </row>
    <row r="60" spans="1:11" x14ac:dyDescent="0.25">
      <c r="A60" s="2" t="s">
        <v>112</v>
      </c>
      <c r="B60" s="224">
        <f t="shared" ref="B60:K64" si="10">B46/B$40</f>
        <v>0.71906024353044795</v>
      </c>
      <c r="C60" s="224">
        <f t="shared" si="10"/>
        <v>0.55195016569647226</v>
      </c>
      <c r="D60" s="224">
        <f t="shared" si="10"/>
        <v>0.23775707599687529</v>
      </c>
      <c r="E60" s="224">
        <f t="shared" si="10"/>
        <v>0.69570923014441111</v>
      </c>
      <c r="F60" s="224">
        <f t="shared" si="10"/>
        <v>0.39433429026377786</v>
      </c>
      <c r="G60" s="224">
        <f t="shared" si="10"/>
        <v>0.62400654553270085</v>
      </c>
      <c r="H60" s="224">
        <f t="shared" si="10"/>
        <v>0.63961834455866451</v>
      </c>
      <c r="I60" s="224">
        <f t="shared" si="10"/>
        <v>0.85291267082773314</v>
      </c>
      <c r="J60" s="224"/>
      <c r="K60" s="224">
        <f t="shared" si="10"/>
        <v>0.19276739080959265</v>
      </c>
    </row>
    <row r="61" spans="1:11" x14ac:dyDescent="0.25">
      <c r="A61" s="2" t="s">
        <v>113</v>
      </c>
      <c r="B61" s="224">
        <f t="shared" si="10"/>
        <v>0.50318893949405341</v>
      </c>
      <c r="C61" s="224">
        <f t="shared" si="10"/>
        <v>0.43864974061479561</v>
      </c>
      <c r="D61" s="224">
        <f t="shared" si="10"/>
        <v>0.11456328313497117</v>
      </c>
      <c r="E61" s="224">
        <f t="shared" si="10"/>
        <v>0.49417059831147742</v>
      </c>
      <c r="F61" s="224">
        <f t="shared" si="10"/>
        <v>0.27607082851840797</v>
      </c>
      <c r="G61" s="224">
        <f t="shared" si="10"/>
        <v>0.44064415989125627</v>
      </c>
      <c r="H61" s="224">
        <f t="shared" si="10"/>
        <v>0.59062661842189346</v>
      </c>
      <c r="I61" s="224">
        <f t="shared" si="10"/>
        <v>0.45916680162776768</v>
      </c>
      <c r="J61" s="224"/>
      <c r="K61" s="224">
        <f t="shared" si="10"/>
        <v>0.11872181926100263</v>
      </c>
    </row>
    <row r="62" spans="1:11" x14ac:dyDescent="0.25">
      <c r="A62" s="2" t="s">
        <v>114</v>
      </c>
      <c r="B62" s="224">
        <f t="shared" si="10"/>
        <v>2.200016487223086E-2</v>
      </c>
      <c r="C62" s="224">
        <f t="shared" si="10"/>
        <v>8.5864104853138959E-2</v>
      </c>
      <c r="D62" s="224">
        <f t="shared" si="10"/>
        <v>0.10929186263535734</v>
      </c>
      <c r="E62" s="224">
        <f t="shared" si="10"/>
        <v>6.1670410315292384E-2</v>
      </c>
      <c r="F62" s="224">
        <f t="shared" si="10"/>
        <v>9.7616707546597251E-2</v>
      </c>
      <c r="G62" s="224">
        <f t="shared" si="10"/>
        <v>6.0927827770237912E-2</v>
      </c>
      <c r="H62" s="224">
        <f t="shared" si="10"/>
        <v>4.6730536065751088E-2</v>
      </c>
      <c r="I62" s="224">
        <f t="shared" si="10"/>
        <v>5.3213656667179825E-4</v>
      </c>
      <c r="J62" s="224"/>
      <c r="K62" s="224">
        <f t="shared" si="10"/>
        <v>5.6461737403112076E-2</v>
      </c>
    </row>
    <row r="63" spans="1:11" x14ac:dyDescent="0.25">
      <c r="A63" s="2" t="s">
        <v>115</v>
      </c>
      <c r="B63" s="224">
        <f t="shared" si="10"/>
        <v>3.4560909012240952E-2</v>
      </c>
      <c r="C63" s="224">
        <f t="shared" si="10"/>
        <v>4.9054990519105349E-2</v>
      </c>
      <c r="D63" s="224">
        <f t="shared" si="10"/>
        <v>1.6680284035027977E-2</v>
      </c>
      <c r="E63" s="224">
        <f t="shared" si="10"/>
        <v>4.1278769031227909E-2</v>
      </c>
      <c r="F63" s="224">
        <f t="shared" si="10"/>
        <v>3.2814125039717541E-2</v>
      </c>
      <c r="G63" s="224">
        <f t="shared" si="10"/>
        <v>3.8290551119257325E-2</v>
      </c>
      <c r="H63" s="224">
        <f t="shared" si="10"/>
        <v>0.30173505566504666</v>
      </c>
      <c r="I63" s="224">
        <f t="shared" si="10"/>
        <v>1.047412096026603E-2</v>
      </c>
      <c r="J63" s="224"/>
      <c r="K63" s="224">
        <f t="shared" si="10"/>
        <v>2.0318608039790124E-2</v>
      </c>
    </row>
    <row r="64" spans="1:11" x14ac:dyDescent="0.25">
      <c r="A64" s="2" t="s">
        <v>116</v>
      </c>
      <c r="B64" s="224">
        <f>B50/B$40</f>
        <v>0.18922230113372795</v>
      </c>
      <c r="C64" s="224">
        <f t="shared" si="10"/>
        <v>9.4623925265438259E-3</v>
      </c>
      <c r="D64" s="224">
        <f t="shared" si="10"/>
        <v>1.8387531456222814E-3</v>
      </c>
      <c r="E64" s="224">
        <f t="shared" si="10"/>
        <v>0.16462095487412223</v>
      </c>
      <c r="F64" s="224">
        <f t="shared" si="10"/>
        <v>5.6379717025340391E-3</v>
      </c>
      <c r="G64" s="224">
        <f t="shared" si="10"/>
        <v>0.14259168945641032</v>
      </c>
      <c r="H64" s="224">
        <f t="shared" si="10"/>
        <v>0</v>
      </c>
      <c r="I64" s="224">
        <f t="shared" si="10"/>
        <v>0.3868153568706541</v>
      </c>
      <c r="J64" s="224"/>
      <c r="K64" s="224">
        <f t="shared" si="10"/>
        <v>1.0101785496055673E-2</v>
      </c>
    </row>
    <row r="65" spans="1:11" x14ac:dyDescent="0.25">
      <c r="A65" s="42" t="s">
        <v>389</v>
      </c>
      <c r="B65" s="224">
        <f>B51/B$40</f>
        <v>0.28677131142210166</v>
      </c>
      <c r="C65" s="224">
        <f t="shared" ref="C65:K65" si="11">C51/C$40</f>
        <v>0.1982994756570709</v>
      </c>
      <c r="D65" s="224">
        <f t="shared" si="11"/>
        <v>2.7345209391941527E-2</v>
      </c>
      <c r="E65" s="224">
        <f t="shared" si="11"/>
        <v>0.26971622008623608</v>
      </c>
      <c r="F65" s="224">
        <f t="shared" si="11"/>
        <v>0.11253977176894663</v>
      </c>
      <c r="G65" s="224">
        <f t="shared" si="11"/>
        <v>0.24615172850858716</v>
      </c>
      <c r="H65" s="224">
        <f t="shared" si="11"/>
        <v>0.13065420585020121</v>
      </c>
      <c r="I65" s="224">
        <f t="shared" si="11"/>
        <v>0.37574188487837912</v>
      </c>
      <c r="J65" s="224">
        <v>0</v>
      </c>
      <c r="K65" s="224">
        <f t="shared" si="11"/>
        <v>0.10442856312845131</v>
      </c>
    </row>
  </sheetData>
  <pageMargins left="0.7" right="0.7" top="0.75" bottom="0.75" header="0.3" footer="0.3"/>
  <pageSetup paperSize="9" orientation="portrait" horizontalDpi="4294967293" verticalDpi="0"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94177B5-5D8C-4013-B41C-03601F4250C8}">
  <dimension ref="A1:Y113"/>
  <sheetViews>
    <sheetView topLeftCell="A107" zoomScale="85" zoomScaleNormal="85" workbookViewId="0">
      <selection activeCell="J6" sqref="J6"/>
    </sheetView>
  </sheetViews>
  <sheetFormatPr baseColWidth="10" defaultColWidth="9.5546875" defaultRowHeight="12" x14ac:dyDescent="0.25"/>
  <cols>
    <col min="1" max="1" width="25.109375" style="62" customWidth="1"/>
    <col min="2" max="2" width="8.44140625" style="62" customWidth="1"/>
    <col min="3" max="3" width="7.88671875" style="63" bestFit="1" customWidth="1"/>
    <col min="4" max="4" width="9.109375" style="63" customWidth="1"/>
    <col min="5" max="5" width="29.5546875" style="63" bestFit="1" customWidth="1"/>
    <col min="6" max="6" width="11.5546875" style="63" customWidth="1"/>
    <col min="7" max="7" width="8.5546875" style="63" customWidth="1"/>
    <col min="8" max="8" width="29.5546875" style="63" bestFit="1" customWidth="1"/>
    <col min="9" max="9" width="7.109375" style="61" customWidth="1"/>
    <col min="10" max="10" width="8.109375" style="61" customWidth="1"/>
    <col min="11" max="11" width="25" style="61" bestFit="1" customWidth="1"/>
    <col min="12" max="12" width="6.109375" style="61" bestFit="1" customWidth="1"/>
    <col min="13" max="15" width="5.44140625" style="61" bestFit="1" customWidth="1"/>
    <col min="16" max="16" width="25" style="61" bestFit="1" customWidth="1"/>
    <col min="17" max="17" width="6.5546875" style="61" customWidth="1"/>
    <col min="18" max="18" width="5.44140625" style="61" bestFit="1" customWidth="1"/>
    <col min="19" max="19" width="25" style="61" bestFit="1" customWidth="1"/>
    <col min="20" max="20" width="6" style="61" customWidth="1"/>
    <col min="21" max="21" width="5.109375" style="61" customWidth="1"/>
    <col min="22" max="22" width="25" style="61" bestFit="1" customWidth="1"/>
    <col min="23" max="24" width="5.44140625" style="61" bestFit="1" customWidth="1"/>
    <col min="25" max="25" width="25" style="61" bestFit="1" customWidth="1"/>
    <col min="26" max="16384" width="9.5546875" style="61"/>
  </cols>
  <sheetData>
    <row r="1" spans="1:25" ht="14.4" x14ac:dyDescent="0.3">
      <c r="A1" s="60" t="s">
        <v>281</v>
      </c>
      <c r="B1" s="60"/>
      <c r="C1" s="60"/>
      <c r="D1" s="60"/>
      <c r="E1" s="60"/>
      <c r="F1" s="60"/>
      <c r="G1" s="60"/>
      <c r="H1" s="60"/>
      <c r="I1" s="60"/>
      <c r="J1" s="60"/>
      <c r="K1" s="60"/>
      <c r="L1" s="60"/>
      <c r="M1" s="60"/>
      <c r="N1" s="60"/>
      <c r="O1" s="60"/>
      <c r="P1" s="60"/>
      <c r="Q1" s="60"/>
      <c r="R1" s="60"/>
      <c r="S1" s="60"/>
      <c r="T1" s="60"/>
      <c r="U1" s="60"/>
      <c r="V1" s="60"/>
      <c r="W1" s="60"/>
      <c r="X1" s="60"/>
      <c r="Y1" s="60"/>
    </row>
    <row r="2" spans="1:25" ht="14.4" x14ac:dyDescent="0.3">
      <c r="A2" s="60"/>
      <c r="B2" s="60"/>
      <c r="C2" s="60"/>
      <c r="D2" s="60"/>
      <c r="E2" s="60"/>
      <c r="F2" s="60"/>
      <c r="G2" s="60"/>
      <c r="H2" s="60"/>
      <c r="I2" s="60"/>
      <c r="J2" s="60"/>
      <c r="K2" s="60"/>
      <c r="L2" s="60"/>
      <c r="M2" s="60"/>
      <c r="N2" s="60"/>
      <c r="O2" s="60"/>
      <c r="P2" s="60"/>
      <c r="Q2" s="60"/>
      <c r="R2" s="60"/>
      <c r="S2" s="60"/>
      <c r="T2" s="60"/>
      <c r="U2" s="60"/>
      <c r="V2" s="60"/>
      <c r="W2" s="60"/>
      <c r="X2" s="60"/>
      <c r="Y2" s="60"/>
    </row>
    <row r="3" spans="1:25" ht="14.4" x14ac:dyDescent="0.3">
      <c r="A3" t="s">
        <v>282</v>
      </c>
    </row>
    <row r="4" spans="1:25" ht="24.75" customHeight="1" x14ac:dyDescent="0.2">
      <c r="A4" s="319" t="s">
        <v>283</v>
      </c>
      <c r="B4" s="323" t="s">
        <v>284</v>
      </c>
      <c r="C4" s="324" t="s">
        <v>285</v>
      </c>
      <c r="D4" s="325"/>
      <c r="E4" s="326"/>
      <c r="F4" s="324" t="s">
        <v>286</v>
      </c>
      <c r="G4" s="325"/>
      <c r="H4" s="326"/>
    </row>
    <row r="5" spans="1:25" x14ac:dyDescent="0.2">
      <c r="A5" s="319"/>
      <c r="B5" s="323"/>
      <c r="C5" s="64" t="s">
        <v>287</v>
      </c>
      <c r="D5" s="64" t="s">
        <v>288</v>
      </c>
      <c r="E5" s="64" t="s">
        <v>289</v>
      </c>
      <c r="F5" s="64" t="s">
        <v>287</v>
      </c>
      <c r="G5" s="64" t="s">
        <v>288</v>
      </c>
      <c r="H5" s="64" t="s">
        <v>289</v>
      </c>
    </row>
    <row r="6" spans="1:25" x14ac:dyDescent="0.25">
      <c r="A6" s="65" t="s">
        <v>290</v>
      </c>
      <c r="B6" s="66">
        <v>2001</v>
      </c>
      <c r="C6" s="67">
        <v>325.90144137633746</v>
      </c>
      <c r="D6" s="67">
        <v>10.046215786792473</v>
      </c>
      <c r="E6" s="65" t="s">
        <v>291</v>
      </c>
      <c r="F6" s="67">
        <v>94.511417999137862</v>
      </c>
      <c r="G6" s="67">
        <v>2.8918008171016396</v>
      </c>
      <c r="H6" s="67" t="s">
        <v>291</v>
      </c>
    </row>
    <row r="7" spans="1:25" x14ac:dyDescent="0.25">
      <c r="A7" s="65" t="s">
        <v>292</v>
      </c>
      <c r="B7" s="66">
        <v>2002</v>
      </c>
      <c r="C7" s="67">
        <v>222.90816363752447</v>
      </c>
      <c r="D7" s="67">
        <v>4.4803784323328371</v>
      </c>
      <c r="E7" s="65" t="s">
        <v>291</v>
      </c>
      <c r="F7" s="67">
        <v>64.643367454882096</v>
      </c>
      <c r="G7" s="67">
        <v>1.3241566749221043</v>
      </c>
      <c r="H7" s="67" t="s">
        <v>291</v>
      </c>
    </row>
    <row r="8" spans="1:25" x14ac:dyDescent="0.25">
      <c r="A8" s="65" t="s">
        <v>293</v>
      </c>
      <c r="B8" s="66">
        <v>2004</v>
      </c>
      <c r="C8" s="67">
        <v>247.97872340425533</v>
      </c>
      <c r="D8" s="67">
        <v>14.38921875562742</v>
      </c>
      <c r="E8" s="65" t="s">
        <v>291</v>
      </c>
      <c r="F8" s="67">
        <v>77.121382978723403</v>
      </c>
      <c r="G8" s="67">
        <v>4.4267872340425498</v>
      </c>
      <c r="H8" s="67" t="s">
        <v>291</v>
      </c>
    </row>
    <row r="9" spans="1:25" x14ac:dyDescent="0.25">
      <c r="A9" s="65" t="s">
        <v>294</v>
      </c>
      <c r="B9" s="66">
        <v>2005</v>
      </c>
      <c r="C9" s="67">
        <v>285.09335341001605</v>
      </c>
      <c r="D9" s="67">
        <v>24.156601506329668</v>
      </c>
      <c r="E9" s="65" t="s">
        <v>291</v>
      </c>
      <c r="F9" s="67">
        <v>62.720537750203533</v>
      </c>
      <c r="G9" s="67">
        <v>7.099918786559801</v>
      </c>
      <c r="H9" s="67" t="s">
        <v>291</v>
      </c>
    </row>
    <row r="10" spans="1:25" x14ac:dyDescent="0.25">
      <c r="A10" s="65" t="s">
        <v>295</v>
      </c>
      <c r="B10" s="66">
        <v>20041</v>
      </c>
      <c r="C10" s="67">
        <v>155.74468085106383</v>
      </c>
      <c r="D10" s="67">
        <v>19.206359425482432</v>
      </c>
      <c r="E10" s="65" t="s">
        <v>291</v>
      </c>
      <c r="F10" s="67">
        <v>17.910638297872342</v>
      </c>
      <c r="G10" s="67">
        <v>2.3207978723404263</v>
      </c>
      <c r="H10" s="67" t="s">
        <v>291</v>
      </c>
    </row>
    <row r="11" spans="1:25" x14ac:dyDescent="0.25">
      <c r="A11" s="65" t="s">
        <v>296</v>
      </c>
      <c r="B11" s="66">
        <v>20051</v>
      </c>
      <c r="C11" s="67">
        <v>215.71260938644704</v>
      </c>
      <c r="D11" s="67">
        <v>7.3756867545376137</v>
      </c>
      <c r="E11" s="65" t="s">
        <v>291</v>
      </c>
      <c r="F11" s="67">
        <v>47.456774065018351</v>
      </c>
      <c r="G11" s="67">
        <v>1.8338180196049869</v>
      </c>
      <c r="H11" s="67" t="s">
        <v>291</v>
      </c>
    </row>
    <row r="12" spans="1:25" s="72" customFormat="1" ht="12" customHeight="1" x14ac:dyDescent="0.25">
      <c r="A12" s="68" t="s">
        <v>297</v>
      </c>
      <c r="B12" s="69">
        <v>2006</v>
      </c>
      <c r="C12" s="70">
        <v>161.22772383028629</v>
      </c>
      <c r="D12" s="70">
        <v>16.004360587154537</v>
      </c>
      <c r="E12" s="71" t="s">
        <v>298</v>
      </c>
      <c r="F12" s="70">
        <v>52.399010244843019</v>
      </c>
      <c r="G12" s="70">
        <v>5.2014171908252234</v>
      </c>
      <c r="H12" s="70" t="s">
        <v>298</v>
      </c>
    </row>
    <row r="13" spans="1:25" s="72" customFormat="1" ht="12" customHeight="1" x14ac:dyDescent="0.25">
      <c r="A13" s="68" t="s">
        <v>299</v>
      </c>
      <c r="B13" s="69">
        <v>2007</v>
      </c>
      <c r="C13" s="70">
        <v>128.48918948730739</v>
      </c>
      <c r="D13" s="70">
        <v>15.361702127659575</v>
      </c>
      <c r="E13" s="71" t="s">
        <v>298</v>
      </c>
      <c r="F13" s="70">
        <v>30.323448719004546</v>
      </c>
      <c r="G13" s="70">
        <v>3.6253617021276603</v>
      </c>
      <c r="H13" s="70" t="s">
        <v>298</v>
      </c>
    </row>
    <row r="14" spans="1:25" s="72" customFormat="1" ht="12" customHeight="1" x14ac:dyDescent="0.25">
      <c r="A14" s="68" t="s">
        <v>300</v>
      </c>
      <c r="B14" s="69">
        <v>2010</v>
      </c>
      <c r="C14" s="70">
        <v>102.34859101544707</v>
      </c>
      <c r="D14" s="70">
        <v>14.673875248411127</v>
      </c>
      <c r="E14" s="71" t="s">
        <v>298</v>
      </c>
      <c r="F14" s="70">
        <v>33.2632920800203</v>
      </c>
      <c r="G14" s="70">
        <v>4.7690094557336158</v>
      </c>
      <c r="H14" s="70" t="s">
        <v>298</v>
      </c>
    </row>
    <row r="15" spans="1:25" s="72" customFormat="1" ht="12" customHeight="1" x14ac:dyDescent="0.25">
      <c r="A15" s="68" t="s">
        <v>301</v>
      </c>
      <c r="B15" s="69">
        <v>2012</v>
      </c>
      <c r="C15" s="70">
        <v>4.6099290780141846</v>
      </c>
      <c r="D15" s="70">
        <v>2.4822695035460995</v>
      </c>
      <c r="E15" s="71" t="s">
        <v>298</v>
      </c>
      <c r="F15" s="70">
        <v>1.3368794326241136</v>
      </c>
      <c r="G15" s="70">
        <v>0.71985815602836878</v>
      </c>
      <c r="H15" s="70" t="s">
        <v>298</v>
      </c>
    </row>
    <row r="16" spans="1:25" s="72" customFormat="1" ht="12" customHeight="1" x14ac:dyDescent="0.25">
      <c r="A16" s="68" t="s">
        <v>302</v>
      </c>
      <c r="B16" s="69">
        <v>2014</v>
      </c>
      <c r="C16" s="70">
        <v>5.1063829787234045</v>
      </c>
      <c r="D16" s="70">
        <v>2.8887109013356458</v>
      </c>
      <c r="E16" s="71" t="s">
        <v>298</v>
      </c>
      <c r="F16" s="70">
        <v>1.2051063829787234</v>
      </c>
      <c r="G16" s="70">
        <v>0.68173577271521257</v>
      </c>
      <c r="H16" s="70" t="s">
        <v>298</v>
      </c>
    </row>
    <row r="17" spans="1:8" s="72" customFormat="1" ht="12" customHeight="1" x14ac:dyDescent="0.25">
      <c r="A17" s="68" t="s">
        <v>303</v>
      </c>
      <c r="B17" s="69">
        <v>3000</v>
      </c>
      <c r="C17" s="70">
        <v>8.644680851063832</v>
      </c>
      <c r="D17" s="70">
        <v>4.1322353448495752</v>
      </c>
      <c r="E17" s="71" t="s">
        <v>298</v>
      </c>
      <c r="F17" s="70">
        <v>2.0401446808510642</v>
      </c>
      <c r="G17" s="70">
        <v>0.97520754138449972</v>
      </c>
      <c r="H17" s="70" t="s">
        <v>298</v>
      </c>
    </row>
    <row r="18" spans="1:8" s="72" customFormat="1" ht="12" customHeight="1" x14ac:dyDescent="0.25">
      <c r="A18" s="68" t="s">
        <v>304</v>
      </c>
      <c r="B18" s="69">
        <v>5001</v>
      </c>
      <c r="C18" s="70">
        <v>0</v>
      </c>
      <c r="D18" s="70">
        <v>0</v>
      </c>
      <c r="E18" s="71" t="s">
        <v>298</v>
      </c>
      <c r="F18" s="70">
        <v>0</v>
      </c>
      <c r="G18" s="70">
        <v>0</v>
      </c>
      <c r="H18" s="70" t="s">
        <v>298</v>
      </c>
    </row>
    <row r="19" spans="1:8" s="72" customFormat="1" ht="12" customHeight="1" x14ac:dyDescent="0.25">
      <c r="A19" s="68" t="s">
        <v>305</v>
      </c>
      <c r="B19" s="69">
        <v>20071</v>
      </c>
      <c r="C19" s="70">
        <v>41.152127659574468</v>
      </c>
      <c r="D19" s="70">
        <v>8.4404757753018842</v>
      </c>
      <c r="E19" s="71" t="s">
        <v>298</v>
      </c>
      <c r="F19" s="70">
        <v>9.7119021276595756</v>
      </c>
      <c r="G19" s="70">
        <v>1.9919522829712444</v>
      </c>
      <c r="H19" s="70" t="s">
        <v>298</v>
      </c>
    </row>
    <row r="20" spans="1:8" s="72" customFormat="1" ht="12" customHeight="1" x14ac:dyDescent="0.25">
      <c r="A20" s="68" t="s">
        <v>306</v>
      </c>
      <c r="B20" s="69">
        <v>20091</v>
      </c>
      <c r="C20" s="70">
        <v>29.952127659574472</v>
      </c>
      <c r="D20" s="70">
        <v>16.382132185460602</v>
      </c>
      <c r="E20" s="71" t="s">
        <v>298</v>
      </c>
      <c r="F20" s="70">
        <v>5.9904255319148945</v>
      </c>
      <c r="G20" s="70">
        <v>3.276426437092121</v>
      </c>
      <c r="H20" s="70" t="s">
        <v>298</v>
      </c>
    </row>
    <row r="21" spans="1:8" s="72" customFormat="1" ht="12" customHeight="1" x14ac:dyDescent="0.25">
      <c r="A21" s="68" t="s">
        <v>307</v>
      </c>
      <c r="B21" s="69">
        <v>20092</v>
      </c>
      <c r="C21" s="70">
        <v>137.52447830345844</v>
      </c>
      <c r="D21" s="70">
        <v>4.8936170212765955</v>
      </c>
      <c r="E21" s="71" t="s">
        <v>298</v>
      </c>
      <c r="F21" s="70">
        <v>27.504895660691691</v>
      </c>
      <c r="G21" s="70">
        <v>0.97872340425532023</v>
      </c>
      <c r="H21" s="70" t="s">
        <v>298</v>
      </c>
    </row>
    <row r="22" spans="1:8" s="72" customFormat="1" ht="12" customHeight="1" x14ac:dyDescent="0.25">
      <c r="A22" s="68" t="s">
        <v>308</v>
      </c>
      <c r="B22" s="69">
        <v>20093</v>
      </c>
      <c r="C22" s="70">
        <v>21.273556231003042</v>
      </c>
      <c r="D22" s="70">
        <v>8.2611655685855823</v>
      </c>
      <c r="E22" s="71" t="s">
        <v>298</v>
      </c>
      <c r="F22" s="70">
        <v>5.0205592705167179</v>
      </c>
      <c r="G22" s="70">
        <v>1.9496350741861974</v>
      </c>
      <c r="H22" s="70" t="s">
        <v>298</v>
      </c>
    </row>
    <row r="23" spans="1:8" s="72" customFormat="1" ht="12" customHeight="1" x14ac:dyDescent="0.25">
      <c r="A23" s="68" t="s">
        <v>309</v>
      </c>
      <c r="B23" s="69">
        <v>20094</v>
      </c>
      <c r="C23" s="70">
        <v>0</v>
      </c>
      <c r="D23" s="70">
        <v>0</v>
      </c>
      <c r="E23" s="71" t="s">
        <v>298</v>
      </c>
      <c r="F23" s="70">
        <v>0</v>
      </c>
      <c r="G23" s="70">
        <v>0</v>
      </c>
      <c r="H23" s="70" t="s">
        <v>298</v>
      </c>
    </row>
    <row r="24" spans="1:8" s="72" customFormat="1" ht="12" customHeight="1" x14ac:dyDescent="0.25">
      <c r="A24" s="68" t="s">
        <v>310</v>
      </c>
      <c r="B24" s="69">
        <v>20121</v>
      </c>
      <c r="C24" s="70">
        <v>0</v>
      </c>
      <c r="D24" s="70">
        <v>0</v>
      </c>
      <c r="E24" s="71" t="s">
        <v>298</v>
      </c>
      <c r="F24" s="70">
        <v>0</v>
      </c>
      <c r="G24" s="70">
        <v>0</v>
      </c>
      <c r="H24" s="70" t="s">
        <v>298</v>
      </c>
    </row>
    <row r="25" spans="1:8" s="72" customFormat="1" ht="12" customHeight="1" x14ac:dyDescent="0.25">
      <c r="A25" s="68" t="s">
        <v>311</v>
      </c>
      <c r="B25" s="69">
        <v>20122</v>
      </c>
      <c r="C25" s="70">
        <v>29.952127659574472</v>
      </c>
      <c r="D25" s="70">
        <v>16.382132185460602</v>
      </c>
      <c r="E25" s="71" t="s">
        <v>298</v>
      </c>
      <c r="F25" s="70">
        <v>5.9904255319148945</v>
      </c>
      <c r="G25" s="70">
        <v>3.276426437092121</v>
      </c>
      <c r="H25" s="70" t="s">
        <v>298</v>
      </c>
    </row>
    <row r="26" spans="1:8" s="72" customFormat="1" ht="12" customHeight="1" x14ac:dyDescent="0.25">
      <c r="A26" s="68" t="s">
        <v>312</v>
      </c>
      <c r="B26" s="69">
        <v>20141</v>
      </c>
      <c r="C26" s="70">
        <v>0</v>
      </c>
      <c r="D26" s="70">
        <v>0</v>
      </c>
      <c r="E26" s="71" t="s">
        <v>298</v>
      </c>
      <c r="F26" s="70">
        <v>0</v>
      </c>
      <c r="G26" s="70">
        <v>0</v>
      </c>
      <c r="H26" s="70" t="s">
        <v>298</v>
      </c>
    </row>
    <row r="27" spans="1:8" s="72" customFormat="1" ht="12" customHeight="1" x14ac:dyDescent="0.25">
      <c r="A27" s="73" t="s">
        <v>313</v>
      </c>
      <c r="B27" s="69">
        <v>50011</v>
      </c>
      <c r="C27" s="70">
        <v>0</v>
      </c>
      <c r="D27" s="70">
        <v>0</v>
      </c>
      <c r="E27" s="71" t="s">
        <v>298</v>
      </c>
      <c r="F27" s="70">
        <v>0</v>
      </c>
      <c r="G27" s="70">
        <v>0</v>
      </c>
      <c r="H27" s="70" t="s">
        <v>298</v>
      </c>
    </row>
    <row r="31" spans="1:8" ht="14.4" x14ac:dyDescent="0.3">
      <c r="A31" t="s">
        <v>314</v>
      </c>
    </row>
    <row r="32" spans="1:8" x14ac:dyDescent="0.25">
      <c r="A32" s="319" t="s">
        <v>283</v>
      </c>
      <c r="B32" s="320" t="s">
        <v>315</v>
      </c>
      <c r="C32" s="321"/>
      <c r="D32" s="322"/>
    </row>
    <row r="33" spans="1:25" x14ac:dyDescent="0.25">
      <c r="A33" s="319"/>
      <c r="B33" s="64" t="s">
        <v>287</v>
      </c>
      <c r="C33" s="64" t="s">
        <v>288</v>
      </c>
      <c r="D33" s="64" t="s">
        <v>289</v>
      </c>
    </row>
    <row r="34" spans="1:25" s="63" customFormat="1" x14ac:dyDescent="0.25">
      <c r="A34" s="65" t="s">
        <v>290</v>
      </c>
      <c r="B34" s="74">
        <v>0</v>
      </c>
      <c r="C34" s="74">
        <v>0</v>
      </c>
      <c r="D34" s="74" t="s">
        <v>316</v>
      </c>
      <c r="I34" s="61"/>
      <c r="J34" s="61"/>
      <c r="K34" s="61"/>
      <c r="L34" s="61"/>
      <c r="M34" s="61"/>
      <c r="N34" s="61"/>
      <c r="O34" s="61"/>
      <c r="P34" s="61"/>
      <c r="Q34" s="61"/>
      <c r="R34" s="61"/>
      <c r="S34" s="61"/>
      <c r="T34" s="61"/>
      <c r="U34" s="61"/>
      <c r="V34" s="61"/>
      <c r="W34" s="61"/>
      <c r="X34" s="61"/>
      <c r="Y34" s="61"/>
    </row>
    <row r="35" spans="1:25" s="63" customFormat="1" x14ac:dyDescent="0.25">
      <c r="A35" s="65" t="s">
        <v>292</v>
      </c>
      <c r="B35" s="74">
        <v>32.42</v>
      </c>
      <c r="C35" s="74">
        <v>3.71</v>
      </c>
      <c r="D35" s="74" t="s">
        <v>316</v>
      </c>
      <c r="I35" s="61"/>
      <c r="J35" s="61"/>
      <c r="K35" s="61"/>
      <c r="L35" s="61"/>
      <c r="M35" s="61"/>
      <c r="N35" s="61"/>
      <c r="O35" s="61"/>
      <c r="P35" s="61"/>
      <c r="Q35" s="61"/>
      <c r="R35" s="61"/>
      <c r="S35" s="61"/>
      <c r="T35" s="61"/>
      <c r="U35" s="61"/>
      <c r="V35" s="61"/>
      <c r="W35" s="61"/>
      <c r="X35" s="61"/>
      <c r="Y35" s="61"/>
    </row>
    <row r="36" spans="1:25" s="63" customFormat="1" x14ac:dyDescent="0.25">
      <c r="A36" s="65" t="s">
        <v>293</v>
      </c>
      <c r="B36" s="74">
        <v>0</v>
      </c>
      <c r="C36" s="74">
        <v>0</v>
      </c>
      <c r="D36" s="74" t="s">
        <v>316</v>
      </c>
      <c r="I36" s="61"/>
      <c r="J36" s="61"/>
      <c r="K36" s="61"/>
      <c r="L36" s="61"/>
      <c r="M36" s="61"/>
      <c r="N36" s="61"/>
      <c r="O36" s="61"/>
      <c r="P36" s="61"/>
      <c r="Q36" s="61"/>
      <c r="R36" s="61"/>
      <c r="S36" s="61"/>
      <c r="T36" s="61"/>
      <c r="U36" s="61"/>
      <c r="V36" s="61"/>
      <c r="W36" s="61"/>
      <c r="X36" s="61"/>
      <c r="Y36" s="61"/>
    </row>
    <row r="37" spans="1:25" s="63" customFormat="1" x14ac:dyDescent="0.25">
      <c r="A37" s="65" t="s">
        <v>294</v>
      </c>
      <c r="B37" s="74">
        <v>0</v>
      </c>
      <c r="C37" s="74">
        <v>0</v>
      </c>
      <c r="D37" s="74" t="s">
        <v>316</v>
      </c>
      <c r="I37" s="61"/>
      <c r="J37" s="61"/>
      <c r="K37" s="61"/>
      <c r="L37" s="61"/>
      <c r="M37" s="61"/>
      <c r="N37" s="61"/>
      <c r="O37" s="61"/>
      <c r="P37" s="61"/>
      <c r="Q37" s="61"/>
      <c r="R37" s="61"/>
      <c r="S37" s="61"/>
      <c r="T37" s="61"/>
      <c r="U37" s="61"/>
      <c r="V37" s="61"/>
      <c r="W37" s="61"/>
      <c r="X37" s="61"/>
      <c r="Y37" s="61"/>
    </row>
    <row r="38" spans="1:25" s="63" customFormat="1" x14ac:dyDescent="0.25">
      <c r="A38" s="65" t="s">
        <v>295</v>
      </c>
      <c r="B38" s="74">
        <v>32.42</v>
      </c>
      <c r="C38" s="74">
        <v>3.71</v>
      </c>
      <c r="D38" s="74" t="s">
        <v>316</v>
      </c>
      <c r="I38" s="61"/>
      <c r="J38" s="61"/>
      <c r="K38" s="61"/>
      <c r="L38" s="61"/>
      <c r="M38" s="61"/>
      <c r="N38" s="61"/>
      <c r="O38" s="61"/>
      <c r="P38" s="61"/>
      <c r="Q38" s="61"/>
      <c r="R38" s="61"/>
      <c r="S38" s="61"/>
      <c r="T38" s="61"/>
      <c r="U38" s="61"/>
      <c r="V38" s="61"/>
      <c r="W38" s="61"/>
      <c r="X38" s="61"/>
      <c r="Y38" s="61"/>
    </row>
    <row r="39" spans="1:25" s="63" customFormat="1" x14ac:dyDescent="0.25">
      <c r="A39" s="65" t="s">
        <v>296</v>
      </c>
      <c r="B39" s="74">
        <v>32.42</v>
      </c>
      <c r="C39" s="74">
        <v>3.71</v>
      </c>
      <c r="D39" s="74" t="s">
        <v>316</v>
      </c>
      <c r="I39" s="61"/>
      <c r="J39" s="61"/>
      <c r="K39" s="61"/>
      <c r="L39" s="61"/>
      <c r="M39" s="61"/>
      <c r="N39" s="61"/>
      <c r="O39" s="61"/>
      <c r="P39" s="61"/>
      <c r="Q39" s="61"/>
      <c r="R39" s="61"/>
      <c r="S39" s="61"/>
      <c r="T39" s="61"/>
      <c r="U39" s="61"/>
      <c r="V39" s="61"/>
      <c r="W39" s="61"/>
      <c r="X39" s="61"/>
      <c r="Y39" s="61"/>
    </row>
    <row r="40" spans="1:25" s="63" customFormat="1" x14ac:dyDescent="0.25">
      <c r="A40" s="68" t="s">
        <v>297</v>
      </c>
      <c r="B40" s="75">
        <v>72.95</v>
      </c>
      <c r="C40" s="75">
        <v>10.28</v>
      </c>
      <c r="D40" s="75" t="s">
        <v>316</v>
      </c>
      <c r="I40" s="61"/>
      <c r="J40" s="61"/>
      <c r="K40" s="61"/>
      <c r="L40" s="61"/>
      <c r="M40" s="61"/>
      <c r="N40" s="61"/>
      <c r="O40" s="61"/>
      <c r="P40" s="61"/>
      <c r="Q40" s="61"/>
      <c r="R40" s="61"/>
      <c r="S40" s="61"/>
      <c r="T40" s="61"/>
      <c r="U40" s="61"/>
      <c r="V40" s="61"/>
      <c r="W40" s="61"/>
      <c r="X40" s="61"/>
      <c r="Y40" s="61"/>
    </row>
    <row r="41" spans="1:25" s="63" customFormat="1" x14ac:dyDescent="0.25">
      <c r="A41" s="68" t="s">
        <v>299</v>
      </c>
      <c r="B41" s="75">
        <v>45.04</v>
      </c>
      <c r="C41" s="75">
        <v>8.4499999999999993</v>
      </c>
      <c r="D41" s="75" t="s">
        <v>316</v>
      </c>
      <c r="I41" s="61"/>
      <c r="J41" s="61"/>
      <c r="K41" s="61"/>
      <c r="L41" s="61"/>
      <c r="M41" s="61"/>
      <c r="N41" s="61"/>
      <c r="O41" s="61"/>
      <c r="P41" s="61"/>
      <c r="Q41" s="61"/>
      <c r="R41" s="61"/>
      <c r="S41" s="61"/>
      <c r="T41" s="61"/>
      <c r="U41" s="61"/>
      <c r="V41" s="61"/>
      <c r="W41" s="61"/>
      <c r="X41" s="61"/>
      <c r="Y41" s="61"/>
    </row>
    <row r="42" spans="1:25" s="63" customFormat="1" x14ac:dyDescent="0.25">
      <c r="A42" s="68" t="s">
        <v>300</v>
      </c>
      <c r="B42" s="75">
        <v>36.630000000000003</v>
      </c>
      <c r="C42" s="75">
        <v>4.4400000000000004</v>
      </c>
      <c r="D42" s="75" t="s">
        <v>316</v>
      </c>
      <c r="I42" s="61"/>
      <c r="J42" s="61"/>
      <c r="K42" s="61"/>
      <c r="L42" s="61"/>
      <c r="M42" s="61"/>
      <c r="N42" s="61"/>
      <c r="O42" s="61"/>
      <c r="P42" s="61"/>
      <c r="Q42" s="61"/>
      <c r="R42" s="61"/>
      <c r="S42" s="61"/>
      <c r="T42" s="61"/>
      <c r="U42" s="61"/>
      <c r="V42" s="61"/>
      <c r="W42" s="61"/>
      <c r="X42" s="61"/>
      <c r="Y42" s="61"/>
    </row>
    <row r="43" spans="1:25" s="63" customFormat="1" x14ac:dyDescent="0.25">
      <c r="A43" s="68" t="s">
        <v>301</v>
      </c>
      <c r="B43" s="75">
        <v>45.04</v>
      </c>
      <c r="C43" s="75">
        <v>8.4499999999999993</v>
      </c>
      <c r="D43" s="75" t="s">
        <v>316</v>
      </c>
      <c r="I43" s="61"/>
      <c r="J43" s="61"/>
      <c r="K43" s="61"/>
      <c r="L43" s="61"/>
      <c r="M43" s="61"/>
      <c r="N43" s="61"/>
      <c r="O43" s="61"/>
      <c r="P43" s="61"/>
      <c r="Q43" s="61"/>
      <c r="R43" s="61"/>
      <c r="S43" s="61"/>
      <c r="T43" s="61"/>
      <c r="U43" s="61"/>
      <c r="V43" s="61"/>
      <c r="W43" s="61"/>
      <c r="X43" s="61"/>
      <c r="Y43" s="61"/>
    </row>
    <row r="44" spans="1:25" s="63" customFormat="1" x14ac:dyDescent="0.25">
      <c r="A44" s="68" t="s">
        <v>302</v>
      </c>
      <c r="B44" s="75">
        <v>63.79</v>
      </c>
      <c r="C44" s="75">
        <v>3.3</v>
      </c>
      <c r="D44" s="75" t="s">
        <v>316</v>
      </c>
      <c r="I44" s="61"/>
      <c r="J44" s="61"/>
      <c r="K44" s="61"/>
      <c r="L44" s="61"/>
      <c r="M44" s="61"/>
      <c r="N44" s="61"/>
      <c r="O44" s="61"/>
      <c r="P44" s="61"/>
      <c r="Q44" s="61"/>
      <c r="R44" s="61"/>
      <c r="S44" s="61"/>
      <c r="T44" s="61"/>
      <c r="U44" s="61"/>
      <c r="V44" s="61"/>
      <c r="W44" s="61"/>
      <c r="X44" s="61"/>
      <c r="Y44" s="61"/>
    </row>
    <row r="45" spans="1:25" s="63" customFormat="1" x14ac:dyDescent="0.25">
      <c r="A45" s="68" t="s">
        <v>303</v>
      </c>
      <c r="B45" s="75">
        <v>45.04</v>
      </c>
      <c r="C45" s="75">
        <v>8.4499999999999993</v>
      </c>
      <c r="D45" s="75" t="s">
        <v>316</v>
      </c>
      <c r="I45" s="61"/>
      <c r="J45" s="61"/>
      <c r="K45" s="61"/>
      <c r="L45" s="61"/>
      <c r="M45" s="61"/>
      <c r="N45" s="61"/>
      <c r="O45" s="61"/>
      <c r="P45" s="61"/>
      <c r="Q45" s="61"/>
      <c r="R45" s="61"/>
      <c r="S45" s="61"/>
      <c r="T45" s="61"/>
      <c r="U45" s="61"/>
      <c r="V45" s="61"/>
      <c r="W45" s="61"/>
      <c r="X45" s="61"/>
      <c r="Y45" s="61"/>
    </row>
    <row r="46" spans="1:25" s="63" customFormat="1" x14ac:dyDescent="0.25">
      <c r="A46" s="68" t="s">
        <v>304</v>
      </c>
      <c r="B46" s="75">
        <v>0</v>
      </c>
      <c r="C46" s="75">
        <v>0</v>
      </c>
      <c r="D46" s="75" t="s">
        <v>316</v>
      </c>
      <c r="I46" s="61"/>
      <c r="J46" s="61"/>
      <c r="K46" s="61"/>
      <c r="L46" s="61"/>
      <c r="M46" s="61"/>
      <c r="N46" s="61"/>
      <c r="O46" s="61"/>
      <c r="P46" s="61"/>
      <c r="Q46" s="61"/>
      <c r="R46" s="61"/>
      <c r="S46" s="61"/>
      <c r="T46" s="61"/>
      <c r="U46" s="61"/>
      <c r="V46" s="61"/>
      <c r="W46" s="61"/>
      <c r="X46" s="61"/>
      <c r="Y46" s="61"/>
    </row>
    <row r="47" spans="1:25" s="63" customFormat="1" x14ac:dyDescent="0.25">
      <c r="A47" s="68" t="s">
        <v>305</v>
      </c>
      <c r="B47" s="75">
        <v>45.04</v>
      </c>
      <c r="C47" s="75">
        <v>8.4499999999999993</v>
      </c>
      <c r="D47" s="75" t="s">
        <v>316</v>
      </c>
      <c r="I47" s="61"/>
      <c r="J47" s="61"/>
      <c r="K47" s="61"/>
      <c r="L47" s="61"/>
      <c r="M47" s="61"/>
      <c r="N47" s="61"/>
      <c r="O47" s="61"/>
      <c r="P47" s="61"/>
      <c r="Q47" s="61"/>
      <c r="R47" s="61"/>
      <c r="S47" s="61"/>
      <c r="T47" s="61"/>
      <c r="U47" s="61"/>
      <c r="V47" s="61"/>
      <c r="W47" s="61"/>
      <c r="X47" s="61"/>
      <c r="Y47" s="61"/>
    </row>
    <row r="48" spans="1:25" s="63" customFormat="1" x14ac:dyDescent="0.25">
      <c r="A48" s="68" t="s">
        <v>306</v>
      </c>
      <c r="B48" s="75">
        <v>45.42</v>
      </c>
      <c r="C48" s="75">
        <v>8.58</v>
      </c>
      <c r="D48" s="75" t="s">
        <v>316</v>
      </c>
      <c r="I48" s="61"/>
      <c r="J48" s="61"/>
      <c r="K48" s="61"/>
      <c r="L48" s="61"/>
      <c r="M48" s="61"/>
      <c r="N48" s="61"/>
      <c r="O48" s="61"/>
      <c r="P48" s="61"/>
      <c r="Q48" s="61"/>
      <c r="R48" s="61"/>
      <c r="S48" s="61"/>
      <c r="T48" s="61"/>
      <c r="U48" s="61"/>
      <c r="V48" s="61"/>
      <c r="W48" s="61"/>
      <c r="X48" s="61"/>
      <c r="Y48" s="61"/>
    </row>
    <row r="49" spans="1:25" s="63" customFormat="1" x14ac:dyDescent="0.25">
      <c r="A49" s="68" t="s">
        <v>307</v>
      </c>
      <c r="B49" s="75">
        <v>54.66</v>
      </c>
      <c r="C49" s="75">
        <v>8.73</v>
      </c>
      <c r="D49" s="75" t="s">
        <v>316</v>
      </c>
      <c r="I49" s="61"/>
      <c r="J49" s="61"/>
      <c r="K49" s="61"/>
      <c r="L49" s="61"/>
      <c r="M49" s="61"/>
      <c r="N49" s="61"/>
      <c r="O49" s="61"/>
      <c r="P49" s="61"/>
      <c r="Q49" s="61"/>
      <c r="R49" s="61"/>
      <c r="S49" s="61"/>
      <c r="T49" s="61"/>
      <c r="U49" s="61"/>
      <c r="V49" s="61"/>
      <c r="W49" s="61"/>
      <c r="X49" s="61"/>
      <c r="Y49" s="61"/>
    </row>
    <row r="50" spans="1:25" s="63" customFormat="1" x14ac:dyDescent="0.25">
      <c r="A50" s="68" t="s">
        <v>308</v>
      </c>
      <c r="B50" s="75">
        <v>33.71</v>
      </c>
      <c r="C50" s="75">
        <v>10.82</v>
      </c>
      <c r="D50" s="75" t="s">
        <v>316</v>
      </c>
      <c r="I50" s="61"/>
      <c r="J50" s="61"/>
      <c r="K50" s="61"/>
      <c r="L50" s="61"/>
      <c r="M50" s="61"/>
      <c r="N50" s="61"/>
      <c r="O50" s="61"/>
      <c r="P50" s="61"/>
      <c r="Q50" s="61"/>
      <c r="R50" s="61"/>
      <c r="S50" s="61"/>
      <c r="T50" s="61"/>
      <c r="U50" s="61"/>
      <c r="V50" s="61"/>
      <c r="W50" s="61"/>
      <c r="X50" s="61"/>
      <c r="Y50" s="61"/>
    </row>
    <row r="51" spans="1:25" s="63" customFormat="1" x14ac:dyDescent="0.25">
      <c r="A51" s="68" t="s">
        <v>309</v>
      </c>
      <c r="B51" s="75">
        <v>0</v>
      </c>
      <c r="C51" s="75">
        <v>0</v>
      </c>
      <c r="D51" s="75" t="s">
        <v>316</v>
      </c>
      <c r="I51" s="61"/>
      <c r="J51" s="61"/>
      <c r="K51" s="61"/>
      <c r="L51" s="61"/>
      <c r="M51" s="61"/>
      <c r="N51" s="61"/>
      <c r="O51" s="61"/>
      <c r="P51" s="61"/>
      <c r="Q51" s="61"/>
      <c r="R51" s="61"/>
      <c r="S51" s="61"/>
      <c r="T51" s="61"/>
      <c r="U51" s="61"/>
      <c r="V51" s="61"/>
      <c r="W51" s="61"/>
      <c r="X51" s="61"/>
      <c r="Y51" s="61"/>
    </row>
    <row r="52" spans="1:25" s="63" customFormat="1" x14ac:dyDescent="0.25">
      <c r="A52" s="68" t="s">
        <v>310</v>
      </c>
      <c r="B52" s="75">
        <v>0</v>
      </c>
      <c r="C52" s="75">
        <v>0</v>
      </c>
      <c r="D52" s="75" t="s">
        <v>316</v>
      </c>
      <c r="I52" s="61"/>
      <c r="J52" s="61"/>
      <c r="K52" s="61"/>
      <c r="L52" s="61"/>
      <c r="M52" s="61"/>
      <c r="N52" s="61"/>
      <c r="O52" s="61"/>
      <c r="P52" s="61"/>
      <c r="Q52" s="61"/>
      <c r="R52" s="61"/>
      <c r="S52" s="61"/>
      <c r="T52" s="61"/>
      <c r="U52" s="61"/>
      <c r="V52" s="61"/>
      <c r="W52" s="61"/>
      <c r="X52" s="61"/>
      <c r="Y52" s="61"/>
    </row>
    <row r="53" spans="1:25" s="63" customFormat="1" x14ac:dyDescent="0.25">
      <c r="A53" s="68" t="s">
        <v>311</v>
      </c>
      <c r="B53" s="75">
        <v>54.66</v>
      </c>
      <c r="C53" s="75">
        <v>8.73</v>
      </c>
      <c r="D53" s="75" t="s">
        <v>316</v>
      </c>
      <c r="I53" s="61"/>
      <c r="J53" s="61"/>
      <c r="K53" s="61"/>
      <c r="L53" s="61"/>
      <c r="M53" s="61"/>
      <c r="N53" s="61"/>
      <c r="O53" s="61"/>
      <c r="P53" s="61"/>
      <c r="Q53" s="61"/>
      <c r="R53" s="61"/>
      <c r="S53" s="61"/>
      <c r="T53" s="61"/>
      <c r="U53" s="61"/>
      <c r="V53" s="61"/>
      <c r="W53" s="61"/>
      <c r="X53" s="61"/>
      <c r="Y53" s="61"/>
    </row>
    <row r="54" spans="1:25" s="63" customFormat="1" x14ac:dyDescent="0.25">
      <c r="A54" s="68" t="s">
        <v>312</v>
      </c>
      <c r="B54" s="75">
        <v>63.79</v>
      </c>
      <c r="C54" s="75">
        <v>3.3</v>
      </c>
      <c r="D54" s="75" t="s">
        <v>316</v>
      </c>
      <c r="I54" s="61"/>
      <c r="J54" s="61"/>
      <c r="K54" s="61"/>
      <c r="L54" s="61"/>
      <c r="M54" s="61"/>
      <c r="N54" s="61"/>
      <c r="O54" s="61"/>
      <c r="P54" s="61"/>
      <c r="Q54" s="61"/>
      <c r="R54" s="61"/>
      <c r="S54" s="61"/>
      <c r="T54" s="61"/>
      <c r="U54" s="61"/>
      <c r="V54" s="61"/>
      <c r="W54" s="61"/>
      <c r="X54" s="61"/>
      <c r="Y54" s="61"/>
    </row>
    <row r="55" spans="1:25" s="63" customFormat="1" x14ac:dyDescent="0.25">
      <c r="A55" s="73" t="s">
        <v>313</v>
      </c>
      <c r="B55" s="75">
        <v>0</v>
      </c>
      <c r="C55" s="75">
        <v>0</v>
      </c>
      <c r="D55" s="75" t="s">
        <v>316</v>
      </c>
      <c r="I55" s="61"/>
      <c r="J55" s="61"/>
      <c r="K55" s="61"/>
      <c r="L55" s="61"/>
      <c r="M55" s="61"/>
      <c r="N55" s="61"/>
      <c r="O55" s="61"/>
      <c r="P55" s="61"/>
      <c r="Q55" s="61"/>
      <c r="R55" s="61"/>
      <c r="S55" s="61"/>
      <c r="T55" s="61"/>
      <c r="U55" s="61"/>
      <c r="V55" s="61"/>
      <c r="W55" s="61"/>
      <c r="X55" s="61"/>
      <c r="Y55" s="61"/>
    </row>
    <row r="58" spans="1:25" ht="14.4" x14ac:dyDescent="0.3">
      <c r="A58" t="s">
        <v>317</v>
      </c>
    </row>
    <row r="59" spans="1:25" s="63" customFormat="1" x14ac:dyDescent="0.25">
      <c r="A59" s="319" t="s">
        <v>283</v>
      </c>
      <c r="B59" s="319" t="s">
        <v>318</v>
      </c>
      <c r="C59" s="319"/>
      <c r="D59" s="320" t="s">
        <v>319</v>
      </c>
      <c r="E59" s="321"/>
      <c r="F59" s="322"/>
      <c r="I59" s="61"/>
      <c r="J59" s="61"/>
      <c r="K59" s="61"/>
      <c r="L59" s="61"/>
      <c r="M59" s="61"/>
      <c r="N59" s="61"/>
      <c r="O59" s="61"/>
      <c r="P59" s="61"/>
      <c r="Q59" s="61"/>
      <c r="R59" s="61"/>
      <c r="S59" s="61"/>
      <c r="T59" s="61"/>
      <c r="U59" s="61"/>
      <c r="V59" s="61"/>
      <c r="W59" s="61"/>
      <c r="X59" s="61"/>
      <c r="Y59" s="61"/>
    </row>
    <row r="60" spans="1:25" s="63" customFormat="1" x14ac:dyDescent="0.25">
      <c r="A60" s="319"/>
      <c r="B60" s="64" t="s">
        <v>287</v>
      </c>
      <c r="C60" s="64" t="s">
        <v>288</v>
      </c>
      <c r="D60" s="64" t="s">
        <v>287</v>
      </c>
      <c r="E60" s="64" t="s">
        <v>288</v>
      </c>
      <c r="F60" s="64" t="s">
        <v>289</v>
      </c>
      <c r="I60" s="61"/>
      <c r="J60" s="61"/>
      <c r="K60" s="61"/>
      <c r="L60" s="61"/>
      <c r="M60" s="61"/>
      <c r="N60" s="61"/>
      <c r="O60" s="61"/>
      <c r="P60" s="61"/>
      <c r="Q60" s="61"/>
      <c r="R60" s="61"/>
      <c r="S60" s="61"/>
      <c r="T60" s="61"/>
      <c r="U60" s="61"/>
      <c r="V60" s="61"/>
      <c r="W60" s="61"/>
      <c r="X60" s="61"/>
      <c r="Y60" s="61"/>
    </row>
    <row r="61" spans="1:25" s="63" customFormat="1" x14ac:dyDescent="0.25">
      <c r="A61" s="65" t="s">
        <v>290</v>
      </c>
      <c r="B61" s="74">
        <v>460.02595161599999</v>
      </c>
      <c r="C61" s="74">
        <v>91.229079664071747</v>
      </c>
      <c r="D61" s="74">
        <v>48.993081984</v>
      </c>
      <c r="E61" s="74">
        <v>11.76540316161589</v>
      </c>
      <c r="F61" s="74" t="s">
        <v>320</v>
      </c>
      <c r="I61" s="61"/>
      <c r="J61" s="61"/>
      <c r="K61" s="61"/>
      <c r="L61" s="61"/>
      <c r="M61" s="61"/>
      <c r="N61" s="61"/>
      <c r="O61" s="61"/>
      <c r="P61" s="61"/>
      <c r="Q61" s="61"/>
      <c r="R61" s="61"/>
      <c r="S61" s="61"/>
      <c r="T61" s="61"/>
      <c r="U61" s="61"/>
      <c r="V61" s="61"/>
      <c r="W61" s="61"/>
      <c r="X61" s="61"/>
      <c r="Y61" s="61"/>
    </row>
    <row r="62" spans="1:25" s="63" customFormat="1" x14ac:dyDescent="0.25">
      <c r="A62" s="65" t="s">
        <v>292</v>
      </c>
      <c r="B62" s="74">
        <v>460.02595161600004</v>
      </c>
      <c r="C62" s="74">
        <v>91.229079664071747</v>
      </c>
      <c r="D62" s="74">
        <v>48.993081984</v>
      </c>
      <c r="E62" s="74">
        <v>11.76540316161589</v>
      </c>
      <c r="F62" s="74" t="s">
        <v>320</v>
      </c>
      <c r="I62" s="61"/>
      <c r="J62" s="61"/>
      <c r="K62" s="61"/>
      <c r="L62" s="61"/>
      <c r="M62" s="61"/>
      <c r="N62" s="61"/>
      <c r="O62" s="61"/>
      <c r="P62" s="61"/>
      <c r="Q62" s="61"/>
      <c r="R62" s="61"/>
      <c r="S62" s="61"/>
      <c r="T62" s="61"/>
      <c r="U62" s="61"/>
      <c r="V62" s="61"/>
      <c r="W62" s="61"/>
      <c r="X62" s="61"/>
      <c r="Y62" s="61"/>
    </row>
    <row r="63" spans="1:25" s="63" customFormat="1" x14ac:dyDescent="0.25">
      <c r="A63" s="65" t="s">
        <v>293</v>
      </c>
      <c r="B63" s="74">
        <v>460.02595161600004</v>
      </c>
      <c r="C63" s="74">
        <v>91.229079664071747</v>
      </c>
      <c r="D63" s="74">
        <v>48.993081984</v>
      </c>
      <c r="E63" s="74">
        <v>11.76540316161589</v>
      </c>
      <c r="F63" s="74" t="s">
        <v>320</v>
      </c>
      <c r="I63" s="61"/>
      <c r="J63" s="61"/>
      <c r="K63" s="61"/>
      <c r="L63" s="61"/>
      <c r="M63" s="61"/>
      <c r="N63" s="61"/>
      <c r="O63" s="61"/>
      <c r="P63" s="61"/>
      <c r="Q63" s="61"/>
      <c r="R63" s="61"/>
      <c r="S63" s="61"/>
      <c r="T63" s="61"/>
      <c r="U63" s="61"/>
      <c r="V63" s="61"/>
      <c r="W63" s="61"/>
      <c r="X63" s="61"/>
      <c r="Y63" s="61"/>
    </row>
    <row r="64" spans="1:25" s="63" customFormat="1" x14ac:dyDescent="0.25">
      <c r="A64" s="65" t="s">
        <v>294</v>
      </c>
      <c r="B64" s="74">
        <v>460.02595161600004</v>
      </c>
      <c r="C64" s="74">
        <v>91.229079664071747</v>
      </c>
      <c r="D64" s="74">
        <v>48.993081984</v>
      </c>
      <c r="E64" s="74">
        <v>11.76540316161589</v>
      </c>
      <c r="F64" s="74" t="s">
        <v>320</v>
      </c>
      <c r="I64" s="61"/>
      <c r="J64" s="61"/>
      <c r="K64" s="61"/>
      <c r="L64" s="61"/>
      <c r="M64" s="61"/>
      <c r="N64" s="61"/>
      <c r="O64" s="61"/>
      <c r="P64" s="61"/>
      <c r="Q64" s="61"/>
      <c r="R64" s="61"/>
      <c r="S64" s="61"/>
      <c r="T64" s="61"/>
      <c r="U64" s="61"/>
      <c r="V64" s="61"/>
      <c r="W64" s="61"/>
      <c r="X64" s="61"/>
      <c r="Y64" s="61"/>
    </row>
    <row r="65" spans="1:25" s="63" customFormat="1" x14ac:dyDescent="0.25">
      <c r="A65" s="65" t="s">
        <v>295</v>
      </c>
      <c r="B65" s="74">
        <v>460.02595161600004</v>
      </c>
      <c r="C65" s="74">
        <v>91.229079664071747</v>
      </c>
      <c r="D65" s="74">
        <v>48.993081984</v>
      </c>
      <c r="E65" s="74">
        <v>11.76540316161589</v>
      </c>
      <c r="F65" s="74" t="s">
        <v>320</v>
      </c>
      <c r="I65" s="61"/>
      <c r="J65" s="61"/>
      <c r="K65" s="61"/>
      <c r="L65" s="61"/>
      <c r="M65" s="61"/>
      <c r="N65" s="61"/>
      <c r="O65" s="61"/>
      <c r="P65" s="61"/>
      <c r="Q65" s="61"/>
      <c r="R65" s="61"/>
      <c r="S65" s="61"/>
      <c r="T65" s="61"/>
      <c r="U65" s="61"/>
      <c r="V65" s="61"/>
      <c r="W65" s="61"/>
      <c r="X65" s="61"/>
      <c r="Y65" s="61"/>
    </row>
    <row r="66" spans="1:25" s="63" customFormat="1" x14ac:dyDescent="0.25">
      <c r="A66" s="65" t="s">
        <v>296</v>
      </c>
      <c r="B66" s="74">
        <v>460.02595161600004</v>
      </c>
      <c r="C66" s="74">
        <v>91.229079664071747</v>
      </c>
      <c r="D66" s="74">
        <v>48.993081984</v>
      </c>
      <c r="E66" s="74">
        <v>11.76540316161589</v>
      </c>
      <c r="F66" s="74" t="s">
        <v>320</v>
      </c>
      <c r="I66" s="61"/>
      <c r="J66" s="61"/>
      <c r="K66" s="61"/>
      <c r="L66" s="61"/>
      <c r="M66" s="61"/>
      <c r="N66" s="61"/>
      <c r="O66" s="61"/>
      <c r="P66" s="61"/>
      <c r="Q66" s="61"/>
      <c r="R66" s="61"/>
      <c r="S66" s="61"/>
      <c r="T66" s="61"/>
      <c r="U66" s="61"/>
      <c r="V66" s="61"/>
      <c r="W66" s="61"/>
      <c r="X66" s="61"/>
      <c r="Y66" s="61"/>
    </row>
    <row r="67" spans="1:25" s="63" customFormat="1" x14ac:dyDescent="0.25">
      <c r="A67" s="68" t="s">
        <v>297</v>
      </c>
      <c r="B67" s="75">
        <v>460.02595161600004</v>
      </c>
      <c r="C67" s="75">
        <v>91.229079664071747</v>
      </c>
      <c r="D67" s="75">
        <v>48.993081984</v>
      </c>
      <c r="E67" s="75">
        <v>11.76540316161589</v>
      </c>
      <c r="F67" s="75" t="s">
        <v>320</v>
      </c>
      <c r="I67" s="61"/>
      <c r="J67" s="61"/>
      <c r="K67" s="61"/>
      <c r="L67" s="61"/>
      <c r="M67" s="61"/>
      <c r="N67" s="61"/>
      <c r="O67" s="61"/>
      <c r="P67" s="61"/>
      <c r="Q67" s="61"/>
      <c r="R67" s="61"/>
      <c r="S67" s="61"/>
      <c r="T67" s="61"/>
      <c r="U67" s="61"/>
      <c r="V67" s="61"/>
      <c r="W67" s="61"/>
      <c r="X67" s="61"/>
      <c r="Y67" s="61"/>
    </row>
    <row r="68" spans="1:25" s="63" customFormat="1" x14ac:dyDescent="0.25">
      <c r="A68" s="68" t="s">
        <v>299</v>
      </c>
      <c r="B68" s="75">
        <v>460.02595161600004</v>
      </c>
      <c r="C68" s="75">
        <v>91.229079664071747</v>
      </c>
      <c r="D68" s="75">
        <v>48.993081984</v>
      </c>
      <c r="E68" s="75">
        <v>11.76540316161589</v>
      </c>
      <c r="F68" s="75" t="s">
        <v>320</v>
      </c>
      <c r="I68" s="61"/>
      <c r="J68" s="61"/>
      <c r="K68" s="61"/>
      <c r="L68" s="61"/>
      <c r="M68" s="61"/>
      <c r="N68" s="61"/>
      <c r="O68" s="61"/>
      <c r="P68" s="61"/>
      <c r="Q68" s="61"/>
      <c r="R68" s="61"/>
      <c r="S68" s="61"/>
      <c r="T68" s="61"/>
      <c r="U68" s="61"/>
      <c r="V68" s="61"/>
      <c r="W68" s="61"/>
      <c r="X68" s="61"/>
      <c r="Y68" s="61"/>
    </row>
    <row r="69" spans="1:25" s="63" customFormat="1" x14ac:dyDescent="0.25">
      <c r="A69" s="68" t="s">
        <v>300</v>
      </c>
      <c r="B69" s="75">
        <v>460.02595161600004</v>
      </c>
      <c r="C69" s="75">
        <v>91.229079664071747</v>
      </c>
      <c r="D69" s="75">
        <v>48.993081984</v>
      </c>
      <c r="E69" s="75">
        <v>11.76540316161589</v>
      </c>
      <c r="F69" s="75" t="s">
        <v>320</v>
      </c>
      <c r="I69" s="61"/>
      <c r="J69" s="61"/>
      <c r="K69" s="61"/>
      <c r="L69" s="61"/>
      <c r="M69" s="61"/>
      <c r="N69" s="61"/>
      <c r="O69" s="61"/>
      <c r="P69" s="61"/>
      <c r="Q69" s="61"/>
      <c r="R69" s="61"/>
      <c r="S69" s="61"/>
      <c r="T69" s="61"/>
      <c r="U69" s="61"/>
      <c r="V69" s="61"/>
      <c r="W69" s="61"/>
      <c r="X69" s="61"/>
      <c r="Y69" s="61"/>
    </row>
    <row r="70" spans="1:25" s="63" customFormat="1" x14ac:dyDescent="0.25">
      <c r="A70" s="68" t="s">
        <v>301</v>
      </c>
      <c r="B70" s="75">
        <v>460.02595161600004</v>
      </c>
      <c r="C70" s="75">
        <v>91.229079664071747</v>
      </c>
      <c r="D70" s="75">
        <v>48.993081984</v>
      </c>
      <c r="E70" s="75">
        <v>11.76540316161589</v>
      </c>
      <c r="F70" s="75" t="s">
        <v>320</v>
      </c>
      <c r="I70" s="61"/>
      <c r="J70" s="61"/>
      <c r="K70" s="61"/>
      <c r="L70" s="61"/>
      <c r="M70" s="61"/>
      <c r="N70" s="61"/>
      <c r="O70" s="61"/>
      <c r="P70" s="61"/>
      <c r="Q70" s="61"/>
      <c r="R70" s="61"/>
      <c r="S70" s="61"/>
      <c r="T70" s="61"/>
      <c r="U70" s="61"/>
      <c r="V70" s="61"/>
      <c r="W70" s="61"/>
      <c r="X70" s="61"/>
      <c r="Y70" s="61"/>
    </row>
    <row r="71" spans="1:25" s="63" customFormat="1" x14ac:dyDescent="0.25">
      <c r="A71" s="68" t="s">
        <v>302</v>
      </c>
      <c r="B71" s="75">
        <v>460.02595161600004</v>
      </c>
      <c r="C71" s="75">
        <v>91.229079664071747</v>
      </c>
      <c r="D71" s="75">
        <v>48.993081984</v>
      </c>
      <c r="E71" s="75">
        <v>11.76540316161589</v>
      </c>
      <c r="F71" s="75" t="s">
        <v>320</v>
      </c>
      <c r="I71" s="61"/>
      <c r="J71" s="61"/>
      <c r="K71" s="61"/>
      <c r="L71" s="61"/>
      <c r="M71" s="61"/>
      <c r="N71" s="61"/>
      <c r="O71" s="61"/>
      <c r="P71" s="61"/>
      <c r="Q71" s="61"/>
      <c r="R71" s="61"/>
      <c r="S71" s="61"/>
      <c r="T71" s="61"/>
      <c r="U71" s="61"/>
      <c r="V71" s="61"/>
      <c r="W71" s="61"/>
      <c r="X71" s="61"/>
      <c r="Y71" s="61"/>
    </row>
    <row r="72" spans="1:25" s="63" customFormat="1" x14ac:dyDescent="0.25">
      <c r="A72" s="68" t="s">
        <v>303</v>
      </c>
      <c r="B72" s="75">
        <v>460.02595161600004</v>
      </c>
      <c r="C72" s="75">
        <v>91.229079664071747</v>
      </c>
      <c r="D72" s="75">
        <v>48.993081984</v>
      </c>
      <c r="E72" s="75">
        <v>11.76540316161589</v>
      </c>
      <c r="F72" s="75" t="s">
        <v>320</v>
      </c>
      <c r="I72" s="61"/>
      <c r="J72" s="61"/>
      <c r="K72" s="61"/>
      <c r="L72" s="61"/>
      <c r="M72" s="61"/>
      <c r="N72" s="61"/>
      <c r="O72" s="61"/>
      <c r="P72" s="61"/>
      <c r="Q72" s="61"/>
      <c r="R72" s="61"/>
      <c r="S72" s="61"/>
      <c r="T72" s="61"/>
      <c r="U72" s="61"/>
      <c r="V72" s="61"/>
      <c r="W72" s="61"/>
      <c r="X72" s="61"/>
      <c r="Y72" s="61"/>
    </row>
    <row r="73" spans="1:25" s="63" customFormat="1" x14ac:dyDescent="0.25">
      <c r="A73" s="68" t="s">
        <v>304</v>
      </c>
      <c r="B73" s="75">
        <v>460.02595161600004</v>
      </c>
      <c r="C73" s="75">
        <v>91.229079664071747</v>
      </c>
      <c r="D73" s="75">
        <v>48.993081984</v>
      </c>
      <c r="E73" s="75">
        <v>11.76540316161589</v>
      </c>
      <c r="F73" s="75" t="s">
        <v>320</v>
      </c>
      <c r="I73" s="61"/>
      <c r="J73" s="61"/>
      <c r="K73" s="61"/>
      <c r="L73" s="61"/>
      <c r="M73" s="61"/>
      <c r="N73" s="61"/>
      <c r="O73" s="61"/>
      <c r="P73" s="61"/>
      <c r="Q73" s="61"/>
      <c r="R73" s="61"/>
      <c r="S73" s="61"/>
      <c r="T73" s="61"/>
      <c r="U73" s="61"/>
      <c r="V73" s="61"/>
      <c r="W73" s="61"/>
      <c r="X73" s="61"/>
      <c r="Y73" s="61"/>
    </row>
    <row r="74" spans="1:25" s="63" customFormat="1" x14ac:dyDescent="0.25">
      <c r="A74" s="68" t="s">
        <v>305</v>
      </c>
      <c r="B74" s="75">
        <v>460.02595161600004</v>
      </c>
      <c r="C74" s="75">
        <v>91.229079664071747</v>
      </c>
      <c r="D74" s="75">
        <v>48.993081984</v>
      </c>
      <c r="E74" s="75">
        <v>11.76540316161589</v>
      </c>
      <c r="F74" s="75" t="s">
        <v>320</v>
      </c>
      <c r="I74" s="61"/>
      <c r="J74" s="61"/>
      <c r="K74" s="61"/>
      <c r="L74" s="61"/>
      <c r="M74" s="61"/>
      <c r="N74" s="61"/>
      <c r="O74" s="61"/>
      <c r="P74" s="61"/>
      <c r="Q74" s="61"/>
      <c r="R74" s="61"/>
      <c r="S74" s="61"/>
      <c r="T74" s="61"/>
      <c r="U74" s="61"/>
      <c r="V74" s="61"/>
      <c r="W74" s="61"/>
      <c r="X74" s="61"/>
      <c r="Y74" s="61"/>
    </row>
    <row r="75" spans="1:25" s="63" customFormat="1" x14ac:dyDescent="0.25">
      <c r="A75" s="68" t="s">
        <v>306</v>
      </c>
      <c r="B75" s="75">
        <v>460.02595161600004</v>
      </c>
      <c r="C75" s="75">
        <v>91.229079664071747</v>
      </c>
      <c r="D75" s="75">
        <v>48.993081984</v>
      </c>
      <c r="E75" s="75">
        <v>11.76540316161589</v>
      </c>
      <c r="F75" s="75" t="s">
        <v>320</v>
      </c>
      <c r="I75" s="61"/>
      <c r="J75" s="61"/>
      <c r="K75" s="61"/>
      <c r="L75" s="61"/>
      <c r="M75" s="61"/>
      <c r="N75" s="61"/>
      <c r="O75" s="61"/>
      <c r="P75" s="61"/>
      <c r="Q75" s="61"/>
      <c r="R75" s="61"/>
      <c r="S75" s="61"/>
      <c r="T75" s="61"/>
      <c r="U75" s="61"/>
      <c r="V75" s="61"/>
      <c r="W75" s="61"/>
      <c r="X75" s="61"/>
      <c r="Y75" s="61"/>
    </row>
    <row r="76" spans="1:25" s="63" customFormat="1" x14ac:dyDescent="0.25">
      <c r="A76" s="68" t="s">
        <v>307</v>
      </c>
      <c r="B76" s="75">
        <v>460.02595161600004</v>
      </c>
      <c r="C76" s="75">
        <v>91.229079664071747</v>
      </c>
      <c r="D76" s="75">
        <v>48.993081984</v>
      </c>
      <c r="E76" s="75">
        <v>11.76540316161589</v>
      </c>
      <c r="F76" s="75" t="s">
        <v>320</v>
      </c>
      <c r="I76" s="61"/>
      <c r="J76" s="61"/>
      <c r="K76" s="61"/>
      <c r="L76" s="61"/>
      <c r="M76" s="61"/>
      <c r="N76" s="61"/>
      <c r="O76" s="61"/>
      <c r="P76" s="61"/>
      <c r="Q76" s="61"/>
      <c r="R76" s="61"/>
      <c r="S76" s="61"/>
      <c r="T76" s="61"/>
      <c r="U76" s="61"/>
      <c r="V76" s="61"/>
      <c r="W76" s="61"/>
      <c r="X76" s="61"/>
      <c r="Y76" s="61"/>
    </row>
    <row r="77" spans="1:25" s="63" customFormat="1" x14ac:dyDescent="0.25">
      <c r="A77" s="68" t="s">
        <v>308</v>
      </c>
      <c r="B77" s="75">
        <v>460.02595161600004</v>
      </c>
      <c r="C77" s="75">
        <v>91.229079664071747</v>
      </c>
      <c r="D77" s="75">
        <v>48.993081984</v>
      </c>
      <c r="E77" s="75">
        <v>11.76540316161589</v>
      </c>
      <c r="F77" s="75" t="s">
        <v>320</v>
      </c>
      <c r="I77" s="61"/>
      <c r="J77" s="61"/>
      <c r="K77" s="61"/>
      <c r="L77" s="61"/>
      <c r="M77" s="61"/>
      <c r="N77" s="61"/>
      <c r="O77" s="61"/>
      <c r="P77" s="61"/>
      <c r="Q77" s="61"/>
      <c r="R77" s="61"/>
      <c r="S77" s="61"/>
      <c r="T77" s="61"/>
      <c r="U77" s="61"/>
      <c r="V77" s="61"/>
      <c r="W77" s="61"/>
      <c r="X77" s="61"/>
      <c r="Y77" s="61"/>
    </row>
    <row r="78" spans="1:25" s="63" customFormat="1" x14ac:dyDescent="0.25">
      <c r="A78" s="68" t="s">
        <v>309</v>
      </c>
      <c r="B78" s="75">
        <v>460.02595161600004</v>
      </c>
      <c r="C78" s="75">
        <v>91.229079664071747</v>
      </c>
      <c r="D78" s="75">
        <v>48.993081984</v>
      </c>
      <c r="E78" s="75">
        <v>11.76540316161589</v>
      </c>
      <c r="F78" s="75" t="s">
        <v>320</v>
      </c>
      <c r="I78" s="61"/>
      <c r="J78" s="61"/>
      <c r="K78" s="61"/>
      <c r="L78" s="61"/>
      <c r="M78" s="61"/>
      <c r="N78" s="61"/>
      <c r="O78" s="61"/>
      <c r="P78" s="61"/>
      <c r="Q78" s="61"/>
      <c r="R78" s="61"/>
      <c r="S78" s="61"/>
      <c r="T78" s="61"/>
      <c r="U78" s="61"/>
      <c r="V78" s="61"/>
      <c r="W78" s="61"/>
      <c r="X78" s="61"/>
      <c r="Y78" s="61"/>
    </row>
    <row r="79" spans="1:25" s="63" customFormat="1" x14ac:dyDescent="0.25">
      <c r="A79" s="68" t="s">
        <v>310</v>
      </c>
      <c r="B79" s="75">
        <v>460.02595161600004</v>
      </c>
      <c r="C79" s="75">
        <v>91.229079664071747</v>
      </c>
      <c r="D79" s="75">
        <v>48.993081984</v>
      </c>
      <c r="E79" s="75">
        <v>11.76540316161589</v>
      </c>
      <c r="F79" s="75" t="s">
        <v>320</v>
      </c>
      <c r="I79" s="61"/>
      <c r="J79" s="61"/>
      <c r="K79" s="61"/>
      <c r="L79" s="61"/>
      <c r="M79" s="61"/>
      <c r="N79" s="61"/>
      <c r="O79" s="61"/>
      <c r="P79" s="61"/>
      <c r="Q79" s="61"/>
      <c r="R79" s="61"/>
      <c r="S79" s="61"/>
      <c r="T79" s="61"/>
      <c r="U79" s="61"/>
      <c r="V79" s="61"/>
      <c r="W79" s="61"/>
      <c r="X79" s="61"/>
      <c r="Y79" s="61"/>
    </row>
    <row r="80" spans="1:25" s="63" customFormat="1" x14ac:dyDescent="0.25">
      <c r="A80" s="68" t="s">
        <v>311</v>
      </c>
      <c r="B80" s="75">
        <v>460.02595161600004</v>
      </c>
      <c r="C80" s="75">
        <v>91.229079664071747</v>
      </c>
      <c r="D80" s="75">
        <v>48.993081984</v>
      </c>
      <c r="E80" s="75">
        <v>11.76540316161589</v>
      </c>
      <c r="F80" s="75" t="s">
        <v>320</v>
      </c>
      <c r="I80" s="61"/>
      <c r="J80" s="61"/>
      <c r="K80" s="61"/>
      <c r="L80" s="61"/>
      <c r="M80" s="61"/>
      <c r="N80" s="61"/>
      <c r="O80" s="61"/>
      <c r="P80" s="61"/>
      <c r="Q80" s="61"/>
      <c r="R80" s="61"/>
      <c r="S80" s="61"/>
      <c r="T80" s="61"/>
      <c r="U80" s="61"/>
      <c r="V80" s="61"/>
      <c r="W80" s="61"/>
      <c r="X80" s="61"/>
      <c r="Y80" s="61"/>
    </row>
    <row r="81" spans="1:25" s="63" customFormat="1" x14ac:dyDescent="0.25">
      <c r="A81" s="68" t="s">
        <v>312</v>
      </c>
      <c r="B81" s="75">
        <v>460.02595161600004</v>
      </c>
      <c r="C81" s="75">
        <v>91.229079664071747</v>
      </c>
      <c r="D81" s="75">
        <v>48.993081984</v>
      </c>
      <c r="E81" s="75">
        <v>11.76540316161589</v>
      </c>
      <c r="F81" s="75" t="s">
        <v>320</v>
      </c>
      <c r="I81" s="61"/>
      <c r="J81" s="61"/>
      <c r="K81" s="61"/>
      <c r="L81" s="61"/>
      <c r="M81" s="61"/>
      <c r="N81" s="61"/>
      <c r="O81" s="61"/>
      <c r="P81" s="61"/>
      <c r="Q81" s="61"/>
      <c r="R81" s="61"/>
      <c r="S81" s="61"/>
      <c r="T81" s="61"/>
      <c r="U81" s="61"/>
      <c r="V81" s="61"/>
      <c r="W81" s="61"/>
      <c r="X81" s="61"/>
      <c r="Y81" s="61"/>
    </row>
    <row r="82" spans="1:25" x14ac:dyDescent="0.25">
      <c r="A82" s="73" t="s">
        <v>313</v>
      </c>
      <c r="B82" s="75">
        <v>460.02595161600004</v>
      </c>
      <c r="C82" s="75">
        <v>91.229079664071747</v>
      </c>
      <c r="D82" s="75">
        <v>48.993081984</v>
      </c>
      <c r="E82" s="75">
        <v>11.76540316161589</v>
      </c>
      <c r="F82" s="75" t="s">
        <v>320</v>
      </c>
    </row>
    <row r="85" spans="1:25" ht="14.4" x14ac:dyDescent="0.3">
      <c r="A85" t="s">
        <v>321</v>
      </c>
    </row>
    <row r="86" spans="1:25" x14ac:dyDescent="0.25">
      <c r="A86" s="319" t="s">
        <v>283</v>
      </c>
      <c r="B86" s="320" t="s">
        <v>322</v>
      </c>
      <c r="C86" s="321"/>
      <c r="D86" s="322"/>
      <c r="E86" s="320" t="s">
        <v>323</v>
      </c>
      <c r="F86" s="321"/>
      <c r="G86" s="322"/>
    </row>
    <row r="87" spans="1:25" x14ac:dyDescent="0.25">
      <c r="A87" s="319"/>
      <c r="B87" s="64" t="s">
        <v>287</v>
      </c>
      <c r="C87" s="64" t="s">
        <v>288</v>
      </c>
      <c r="D87" s="64" t="s">
        <v>289</v>
      </c>
      <c r="E87" s="64" t="s">
        <v>287</v>
      </c>
      <c r="F87" s="64" t="s">
        <v>288</v>
      </c>
      <c r="G87" s="64" t="s">
        <v>289</v>
      </c>
    </row>
    <row r="88" spans="1:25" x14ac:dyDescent="0.25">
      <c r="A88" s="65" t="s">
        <v>290</v>
      </c>
      <c r="B88" s="74">
        <v>31.21921487054443</v>
      </c>
      <c r="C88" s="74">
        <v>9.2294158633420214</v>
      </c>
      <c r="D88" s="74" t="s">
        <v>324</v>
      </c>
      <c r="E88" s="74">
        <v>13.5545610782476</v>
      </c>
      <c r="F88" s="74">
        <v>0.90332223514250365</v>
      </c>
      <c r="G88" s="74" t="s">
        <v>324</v>
      </c>
    </row>
    <row r="89" spans="1:25" x14ac:dyDescent="0.25">
      <c r="A89" s="65" t="s">
        <v>292</v>
      </c>
      <c r="B89" s="74">
        <v>37.227847770207418</v>
      </c>
      <c r="C89" s="74">
        <v>11.002709942691483</v>
      </c>
      <c r="D89" s="74" t="s">
        <v>324</v>
      </c>
      <c r="E89" s="74">
        <v>16.163351272779131</v>
      </c>
      <c r="F89" s="74">
        <v>0.99846589413010411</v>
      </c>
      <c r="G89" s="74" t="s">
        <v>324</v>
      </c>
    </row>
    <row r="90" spans="1:25" x14ac:dyDescent="0.25">
      <c r="A90" s="65" t="s">
        <v>293</v>
      </c>
      <c r="B90" s="74">
        <v>22.136593247999997</v>
      </c>
      <c r="C90" s="74">
        <v>6.6772155000481215</v>
      </c>
      <c r="D90" s="74" t="s">
        <v>324</v>
      </c>
      <c r="E90" s="74">
        <v>9.611125920000001</v>
      </c>
      <c r="F90" s="74">
        <v>1.331456822212465</v>
      </c>
      <c r="G90" s="74" t="s">
        <v>324</v>
      </c>
    </row>
    <row r="91" spans="1:25" x14ac:dyDescent="0.25">
      <c r="A91" s="65" t="s">
        <v>294</v>
      </c>
      <c r="B91" s="74">
        <v>26.36815101615495</v>
      </c>
      <c r="C91" s="74">
        <v>7.8754240550432835</v>
      </c>
      <c r="D91" s="74" t="s">
        <v>324</v>
      </c>
      <c r="E91" s="74">
        <v>11.448356883764754</v>
      </c>
      <c r="F91" s="74">
        <v>1.3531517883208759</v>
      </c>
      <c r="G91" s="74" t="s">
        <v>324</v>
      </c>
    </row>
    <row r="92" spans="1:25" x14ac:dyDescent="0.25">
      <c r="A92" s="65" t="s">
        <v>295</v>
      </c>
      <c r="B92" s="74">
        <v>17.923109173200004</v>
      </c>
      <c r="C92" s="74">
        <v>5.7112799851016991</v>
      </c>
      <c r="D92" s="74" t="s">
        <v>324</v>
      </c>
      <c r="E92" s="74">
        <v>7.7817420780000015</v>
      </c>
      <c r="F92" s="74">
        <v>1.5336308604669051</v>
      </c>
      <c r="G92" s="74" t="s">
        <v>324</v>
      </c>
    </row>
    <row r="93" spans="1:25" x14ac:dyDescent="0.25">
      <c r="A93" s="65" t="s">
        <v>296</v>
      </c>
      <c r="B93" s="74">
        <v>34.684387976372037</v>
      </c>
      <c r="C93" s="74">
        <v>10.268222321451432</v>
      </c>
      <c r="D93" s="74" t="s">
        <v>324</v>
      </c>
      <c r="E93" s="74">
        <v>15.059048000945841</v>
      </c>
      <c r="F93" s="74">
        <v>1.2304157663692383</v>
      </c>
      <c r="G93" s="74" t="s">
        <v>324</v>
      </c>
    </row>
    <row r="95" spans="1:25" ht="14.4" x14ac:dyDescent="0.3">
      <c r="A95" t="s">
        <v>325</v>
      </c>
    </row>
    <row r="96" spans="1:25" x14ac:dyDescent="0.25">
      <c r="A96" s="319" t="s">
        <v>283</v>
      </c>
      <c r="B96" s="319" t="s">
        <v>326</v>
      </c>
      <c r="C96" s="319"/>
      <c r="D96" s="319"/>
    </row>
    <row r="97" spans="1:4" x14ac:dyDescent="0.25">
      <c r="A97" s="319"/>
      <c r="B97" s="64" t="s">
        <v>287</v>
      </c>
      <c r="C97" s="64" t="s">
        <v>288</v>
      </c>
      <c r="D97" s="64" t="s">
        <v>289</v>
      </c>
    </row>
    <row r="98" spans="1:4" x14ac:dyDescent="0.25">
      <c r="A98" s="68" t="s">
        <v>297</v>
      </c>
      <c r="B98" s="68">
        <v>28.966666666666669</v>
      </c>
      <c r="C98" s="68">
        <v>5.7533289742600946</v>
      </c>
      <c r="D98" s="68" t="s">
        <v>327</v>
      </c>
    </row>
    <row r="99" spans="1:4" x14ac:dyDescent="0.25">
      <c r="A99" s="68" t="s">
        <v>299</v>
      </c>
      <c r="B99" s="68"/>
      <c r="C99" s="68"/>
      <c r="D99" s="68"/>
    </row>
    <row r="100" spans="1:4" x14ac:dyDescent="0.25">
      <c r="A100" s="68" t="s">
        <v>300</v>
      </c>
      <c r="B100" s="68">
        <v>28.966666666666669</v>
      </c>
      <c r="C100" s="68">
        <v>5.7533289742600946</v>
      </c>
      <c r="D100" s="68" t="s">
        <v>327</v>
      </c>
    </row>
    <row r="101" spans="1:4" x14ac:dyDescent="0.25">
      <c r="A101" s="68" t="s">
        <v>301</v>
      </c>
      <c r="B101" s="68"/>
      <c r="C101" s="68"/>
      <c r="D101" s="68"/>
    </row>
    <row r="102" spans="1:4" x14ac:dyDescent="0.25">
      <c r="A102" s="68" t="s">
        <v>302</v>
      </c>
      <c r="B102" s="68"/>
      <c r="C102" s="68"/>
      <c r="D102" s="68"/>
    </row>
    <row r="103" spans="1:4" x14ac:dyDescent="0.25">
      <c r="A103" s="68" t="s">
        <v>303</v>
      </c>
      <c r="B103" s="68"/>
      <c r="C103" s="68"/>
      <c r="D103" s="68"/>
    </row>
    <row r="104" spans="1:4" x14ac:dyDescent="0.25">
      <c r="A104" s="68" t="s">
        <v>304</v>
      </c>
      <c r="B104" s="68"/>
      <c r="C104" s="68"/>
      <c r="D104" s="68"/>
    </row>
    <row r="105" spans="1:4" x14ac:dyDescent="0.25">
      <c r="A105" s="68" t="s">
        <v>305</v>
      </c>
      <c r="B105" s="68"/>
      <c r="C105" s="68"/>
      <c r="D105" s="68"/>
    </row>
    <row r="106" spans="1:4" x14ac:dyDescent="0.25">
      <c r="A106" s="68" t="s">
        <v>306</v>
      </c>
      <c r="B106" s="68">
        <v>28.966666666666669</v>
      </c>
      <c r="C106" s="68">
        <v>5.7533289742600946</v>
      </c>
      <c r="D106" s="68" t="s">
        <v>327</v>
      </c>
    </row>
    <row r="107" spans="1:4" x14ac:dyDescent="0.25">
      <c r="A107" s="68" t="s">
        <v>307</v>
      </c>
      <c r="B107" s="68">
        <v>28.966666666666669</v>
      </c>
      <c r="C107" s="68">
        <v>5.7533289742600946</v>
      </c>
      <c r="D107" s="68" t="s">
        <v>327</v>
      </c>
    </row>
    <row r="108" spans="1:4" x14ac:dyDescent="0.25">
      <c r="A108" s="68" t="s">
        <v>308</v>
      </c>
      <c r="B108" s="68">
        <v>28.966666666666669</v>
      </c>
      <c r="C108" s="68">
        <v>5.7533289742600946</v>
      </c>
      <c r="D108" s="68" t="s">
        <v>327</v>
      </c>
    </row>
    <row r="109" spans="1:4" x14ac:dyDescent="0.25">
      <c r="A109" s="68" t="s">
        <v>309</v>
      </c>
      <c r="B109" s="68">
        <v>90.0625</v>
      </c>
      <c r="C109" s="68">
        <v>22.817912219472568</v>
      </c>
      <c r="D109" s="68" t="s">
        <v>327</v>
      </c>
    </row>
    <row r="110" spans="1:4" x14ac:dyDescent="0.25">
      <c r="A110" s="68" t="s">
        <v>310</v>
      </c>
      <c r="B110" s="68"/>
      <c r="C110" s="68"/>
      <c r="D110" s="68"/>
    </row>
    <row r="111" spans="1:4" x14ac:dyDescent="0.25">
      <c r="A111" s="68" t="s">
        <v>311</v>
      </c>
      <c r="B111" s="76"/>
      <c r="C111" s="76"/>
      <c r="D111" s="75"/>
    </row>
    <row r="112" spans="1:4" x14ac:dyDescent="0.25">
      <c r="A112" s="68" t="s">
        <v>312</v>
      </c>
      <c r="B112" s="76"/>
      <c r="C112" s="76"/>
      <c r="D112" s="75"/>
    </row>
    <row r="113" spans="1:4" x14ac:dyDescent="0.25">
      <c r="A113" s="73" t="s">
        <v>313</v>
      </c>
      <c r="B113" s="76"/>
      <c r="C113" s="76"/>
      <c r="D113" s="75"/>
    </row>
  </sheetData>
  <mergeCells count="14">
    <mergeCell ref="A4:A5"/>
    <mergeCell ref="B4:B5"/>
    <mergeCell ref="C4:E4"/>
    <mergeCell ref="F4:H4"/>
    <mergeCell ref="A32:A33"/>
    <mergeCell ref="B32:D32"/>
    <mergeCell ref="A96:A97"/>
    <mergeCell ref="B96:D96"/>
    <mergeCell ref="A59:A60"/>
    <mergeCell ref="B59:C59"/>
    <mergeCell ref="D59:F59"/>
    <mergeCell ref="A86:A87"/>
    <mergeCell ref="B86:D86"/>
    <mergeCell ref="E86:G86"/>
  </mergeCells>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A98B72DC81C300408792D0D52B91F25F" ma:contentTypeVersion="23" ma:contentTypeDescription="Create a new document." ma:contentTypeScope="" ma:versionID="79626c933ba4105446cb90efac772a43">
  <xsd:schema xmlns:xsd="http://www.w3.org/2001/XMLSchema" xmlns:xs="http://www.w3.org/2001/XMLSchema" xmlns:p="http://schemas.microsoft.com/office/2006/metadata/properties" xmlns:ns2="a4080d2f-248d-41d9-867e-cfc4f0ff9883" xmlns:ns3="765ce9ec-8dc2-4810-b47b-aff11b69c291" xmlns:ns4="49dbd42b-4e70-49db-9652-074cdc37e754" targetNamespace="http://schemas.microsoft.com/office/2006/metadata/properties" ma:root="true" ma:fieldsID="d448581fb5fc16e4904d039015b0ca1a" ns2:_="" ns3:_="" ns4:_="">
    <xsd:import namespace="a4080d2f-248d-41d9-867e-cfc4f0ff9883"/>
    <xsd:import namespace="765ce9ec-8dc2-4810-b47b-aff11b69c291"/>
    <xsd:import namespace="49dbd42b-4e70-49db-9652-074cdc37e754"/>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AutoKeyPoints" minOccurs="0"/>
                <xsd:element ref="ns3:MediaServiceKeyPoints" minOccurs="0"/>
                <xsd:element ref="ns3:MediaServiceDateTaken" minOccurs="0"/>
                <xsd:element ref="ns3:MediaLengthInSeconds" minOccurs="0"/>
                <xsd:element ref="ns3:lcf76f155ced4ddcb4097134ff3c332f" minOccurs="0"/>
                <xsd:element ref="ns2:TaxCatchAll" minOccurs="0"/>
                <xsd:element ref="ns3:MediaServiceOCR" minOccurs="0"/>
                <xsd:element ref="ns3:MediaServiceGenerationTime" minOccurs="0"/>
                <xsd:element ref="ns3:MediaServiceEventHashCode" minOccurs="0"/>
                <xsd:element ref="ns3:DocumentType" minOccurs="0"/>
                <xsd:element ref="ns4:SWCPowerTaggingTag1" minOccurs="0"/>
                <xsd:element ref="ns3:Etag" minOccurs="0"/>
                <xsd:element ref="ns3:MediaServiceObjectDetectorVersions" minOccurs="0"/>
                <xsd:element ref="ns3:blobFile" minOccurs="0"/>
                <xsd:element ref="ns3:MediaServiceSearchProperties" minOccurs="0"/>
                <xsd:element ref="ns3:Not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4080d2f-248d-41d9-867e-cfc4f0ff9883"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element name="TaxCatchAll" ma:index="18" nillable="true" ma:displayName="Taxonomy Catch All Column" ma:hidden="true" ma:list="{77cf3ba9-ac2f-46e1-b36d-8317445414cf}" ma:internalName="TaxCatchAll" ma:showField="CatchAllData" ma:web="a4080d2f-248d-41d9-867e-cfc4f0ff9883">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765ce9ec-8dc2-4810-b47b-aff11b69c291"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AutoKeyPoints" ma:index="12" nillable="true" ma:displayName="MediaServiceAutoKeyPoints" ma:hidden="true" ma:internalName="MediaServiceAutoKeyPoints" ma:readOnly="true">
      <xsd:simpleType>
        <xsd:restriction base="dms:Note"/>
      </xsd:simpleType>
    </xsd:element>
    <xsd:element name="MediaServiceKeyPoints" ma:index="13" nillable="true" ma:displayName="KeyPoints" ma:internalName="MediaServiceKeyPoints" ma:readOnly="true">
      <xsd:simpleType>
        <xsd:restriction base="dms:Note">
          <xsd:maxLength value="255"/>
        </xsd:restriction>
      </xsd:simpleType>
    </xsd:element>
    <xsd:element name="MediaServiceDateTaken" ma:index="14" nillable="true" ma:displayName="MediaServiceDateTaken" ma:hidden="true" ma:internalName="MediaServiceDateTaken"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element name="lcf76f155ced4ddcb4097134ff3c332f" ma:index="17" nillable="true" ma:taxonomy="true" ma:internalName="lcf76f155ced4ddcb4097134ff3c332f" ma:taxonomyFieldName="MediaServiceImageTags" ma:displayName="Image Tags" ma:readOnly="false" ma:fieldId="{5cf76f15-5ced-4ddc-b409-7134ff3c332f}" ma:taxonomyMulti="true" ma:sspId="3a5397d5-9543-4dbc-8fcb-23c3638b1d43"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element name="MediaServiceGenerationTime" ma:index="20" nillable="true" ma:displayName="MediaServiceGenerationTime" ma:hidden="true" ma:internalName="MediaServiceGenerationTime" ma:readOnly="true">
      <xsd:simpleType>
        <xsd:restriction base="dms:Text"/>
      </xsd:simpleType>
    </xsd:element>
    <xsd:element name="MediaServiceEventHashCode" ma:index="21" nillable="true" ma:displayName="MediaServiceEventHashCode" ma:hidden="true" ma:internalName="MediaServiceEventHashCode" ma:readOnly="true">
      <xsd:simpleType>
        <xsd:restriction base="dms:Text"/>
      </xsd:simpleType>
    </xsd:element>
    <xsd:element name="DocumentType" ma:index="22" nillable="true" ma:displayName="Document Type" ma:format="Dropdown" ma:internalName="DocumentType">
      <xsd:simpleType>
        <xsd:restriction base="dms:Text">
          <xsd:maxLength value="255"/>
        </xsd:restriction>
      </xsd:simpleType>
    </xsd:element>
    <xsd:element name="Etag" ma:index="24" nillable="true" ma:displayName="Etag" ma:internalName="Etag">
      <xsd:simpleType>
        <xsd:restriction base="dms:Text">
          <xsd:maxLength value="255"/>
        </xsd:restriction>
      </xsd:simpleType>
    </xsd:element>
    <xsd:element name="MediaServiceObjectDetectorVersions" ma:index="25" nillable="true" ma:displayName="MediaServiceObjectDetectorVersions" ma:description="" ma:hidden="true" ma:indexed="true" ma:internalName="MediaServiceObjectDetectorVersions" ma:readOnly="true">
      <xsd:simpleType>
        <xsd:restriction base="dms:Text"/>
      </xsd:simpleType>
    </xsd:element>
    <xsd:element name="blobFile" ma:index="26" nillable="true" ma:displayName="blobFile" ma:internalName="blobFile">
      <xsd:simpleType>
        <xsd:restriction base="dms:Text">
          <xsd:maxLength value="255"/>
        </xsd:restriction>
      </xsd:simpleType>
    </xsd:element>
    <xsd:element name="MediaServiceSearchProperties" ma:index="27" nillable="true" ma:displayName="MediaServiceSearchProperties" ma:hidden="true" ma:internalName="MediaServiceSearchProperties" ma:readOnly="true">
      <xsd:simpleType>
        <xsd:restriction base="dms:Note"/>
      </xsd:simpleType>
    </xsd:element>
    <xsd:element name="Note" ma:index="28" nillable="true" ma:displayName="Note" ma:format="Dropdown" ma:internalName="Note">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49dbd42b-4e70-49db-9652-074cdc37e754" elementFormDefault="qualified">
    <xsd:import namespace="http://schemas.microsoft.com/office/2006/documentManagement/types"/>
    <xsd:import namespace="http://schemas.microsoft.com/office/infopath/2007/PartnerControls"/>
    <xsd:element name="SWCPowerTaggingTag1" ma:index="23" nillable="true" ma:displayName="PPTags" ma:internalName="SWCPowerTaggingTag">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765ce9ec-8dc2-4810-b47b-aff11b69c291">
      <Terms xmlns="http://schemas.microsoft.com/office/infopath/2007/PartnerControls"/>
    </lcf76f155ced4ddcb4097134ff3c332f>
    <TaxCatchAll xmlns="a4080d2f-248d-41d9-867e-cfc4f0ff9883" xsi:nil="true"/>
    <Note xmlns="765ce9ec-8dc2-4810-b47b-aff11b69c291" xsi:nil="true"/>
    <blobFile xmlns="765ce9ec-8dc2-4810-b47b-aff11b69c291">c89b2685-d4f0-473c-ba16-dae7eb8f8593/1d73b920-8e48-4133-9e8e-44c846c5bfef.xlsx</blobFile>
    <Etag xmlns="765ce9ec-8dc2-4810-b47b-aff11b69c291">0x8DCD36E8F9DE4C7</Etag>
    <SWCPowerTaggingTag1 xmlns="49dbd42b-4e70-49db-9652-074cdc37e754">{"Extraction":1,"Tags":[]}</SWCPowerTaggingTag1>
    <DocumentType xmlns="765ce9ec-8dc2-4810-b47b-aff11b69c291">GHG emission</DocumentType>
  </documentManagement>
</p:properties>
</file>

<file path=customXml/itemProps1.xml><?xml version="1.0" encoding="utf-8"?>
<ds:datastoreItem xmlns:ds="http://schemas.openxmlformats.org/officeDocument/2006/customXml" ds:itemID="{82197AC5-DF8A-4587-99B2-8D1B3B4D0E1F}"/>
</file>

<file path=customXml/itemProps2.xml><?xml version="1.0" encoding="utf-8"?>
<ds:datastoreItem xmlns:ds="http://schemas.openxmlformats.org/officeDocument/2006/customXml" ds:itemID="{66301873-2308-44A7-A9EF-DCBAD1E4BC8C}">
  <ds:schemaRefs>
    <ds:schemaRef ds:uri="http://schemas.microsoft.com/sharepoint/v3/contenttype/forms"/>
  </ds:schemaRefs>
</ds:datastoreItem>
</file>

<file path=customXml/itemProps3.xml><?xml version="1.0" encoding="utf-8"?>
<ds:datastoreItem xmlns:ds="http://schemas.openxmlformats.org/officeDocument/2006/customXml" ds:itemID="{2BC07BEE-E348-4475-955C-4F114029E7F1}">
  <ds:schemaRefs>
    <ds:schemaRef ds:uri="http://schemas.openxmlformats.org/package/2006/metadata/core-properties"/>
    <ds:schemaRef ds:uri="0e303c07-27d7-4141-a104-b7d723ce49e0"/>
    <ds:schemaRef ds:uri="http://schemas.microsoft.com/office/2006/metadata/properties"/>
    <ds:schemaRef ds:uri="http://schemas.microsoft.com/office/2006/documentManagement/types"/>
    <ds:schemaRef ds:uri="http://schemas.microsoft.com/office/infopath/2007/PartnerControls"/>
    <ds:schemaRef ds:uri="http://www.w3.org/XML/1998/namespace"/>
    <ds:schemaRef ds:uri="http://purl.org/dc/terms/"/>
    <ds:schemaRef ds:uri="9588d9e9-751b-48cb-9a46-e929191f8f16"/>
    <ds:schemaRef ds:uri="http://purl.org/dc/elements/1.1/"/>
    <ds:schemaRef ds:uri="http://purl.org/dc/dcmitype/"/>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8</vt:i4>
      </vt:variant>
    </vt:vector>
  </HeadingPairs>
  <TitlesOfParts>
    <vt:vector size="8" baseType="lpstr">
      <vt:lpstr>Readme</vt:lpstr>
      <vt:lpstr>ER Target</vt:lpstr>
      <vt:lpstr>Pivot ER</vt:lpstr>
      <vt:lpstr>Program Activity-Rev</vt:lpstr>
      <vt:lpstr>Activities-Direct Mitigation</vt:lpstr>
      <vt:lpstr>Baseline FRL</vt:lpstr>
      <vt:lpstr>Implementing Areas</vt:lpstr>
      <vt:lpstr>EF Sources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Solichin Manuri</dc:creator>
  <cp:keywords/>
  <dc:description/>
  <cp:lastModifiedBy>Becker, Manuel GIZ</cp:lastModifiedBy>
  <cp:revision/>
  <dcterms:created xsi:type="dcterms:W3CDTF">2023-10-20T03:49:27Z</dcterms:created>
  <dcterms:modified xsi:type="dcterms:W3CDTF">2024-08-23T13:24:43Z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0x010100A98B72DC81C300408792D0D52B91F25F</vt:lpwstr>
  </property>
  <property fmtid="{D5CDD505-2E9C-101B-9397-08002B2CF9AE}" pid="3" name="MediaServiceImageTags">
    <vt:lpwstr/>
  </property>
</Properties>
</file>