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Katoh\OneDrive - Food and Agriculture Organization\Shared folder\FP\Somalia\Package-for-iTAP_Revised\ANNEX-23_BEN\"/>
    </mc:Choice>
  </mc:AlternateContent>
  <xr:revisionPtr revIDLastSave="0" documentId="13_ncr:1_{E8357DF3-E265-4E9E-8D30-73C6F2A2C484}" xr6:coauthVersionLast="47" xr6:coauthVersionMax="47" xr10:uidLastSave="{00000000-0000-0000-0000-000000000000}"/>
  <bookViews>
    <workbookView xWindow="-108" yWindow="-108" windowWidth="23256" windowHeight="12576" xr2:uid="{0A66AD8B-C4B5-534C-B952-061CFF27B1AD}"/>
  </bookViews>
  <sheets>
    <sheet name="Annex 23a" sheetId="2" r:id="rId1"/>
    <sheet name="Data" sheetId="4" r:id="rId2"/>
    <sheet name="E3" sheetId="3" r:id="rId3"/>
  </sheets>
  <definedNames>
    <definedName name="_ftn1" localSheetId="2">'E3'!#REF!</definedName>
    <definedName name="_ftnref1" localSheetId="2">'E3'!#REF!</definedName>
    <definedName name="District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4" i="4" l="1"/>
  <c r="K13" i="2"/>
  <c r="J13" i="2"/>
  <c r="F13" i="2"/>
  <c r="D13" i="2"/>
  <c r="E14" i="2"/>
  <c r="D15" i="2"/>
  <c r="K1" i="4"/>
  <c r="H99" i="4"/>
  <c r="H100" i="4" s="1"/>
  <c r="G8" i="3" s="1"/>
  <c r="E8" i="3" s="1"/>
  <c r="H97" i="4" l="1"/>
  <c r="I9" i="3"/>
  <c r="J9" i="3" s="1"/>
  <c r="I8" i="3"/>
  <c r="J8" i="3" s="1"/>
  <c r="G4" i="2"/>
  <c r="D90" i="4"/>
  <c r="D27" i="4"/>
  <c r="D25" i="4" s="1"/>
  <c r="D32" i="4"/>
  <c r="C100" i="4" l="1"/>
  <c r="C101" i="4" s="1"/>
  <c r="D87" i="4"/>
  <c r="G7" i="3" s="1"/>
  <c r="D53" i="4"/>
  <c r="D50" i="4"/>
  <c r="D49" i="4" s="1"/>
  <c r="D47" i="4"/>
  <c r="D46" i="4"/>
  <c r="D45" i="4"/>
  <c r="D35" i="4"/>
  <c r="D33" i="4"/>
  <c r="D30" i="4" s="1"/>
  <c r="D28" i="4"/>
  <c r="D18" i="4"/>
  <c r="G19" i="4"/>
  <c r="G18" i="4"/>
  <c r="G17" i="4"/>
  <c r="D3" i="4"/>
  <c r="D9" i="4"/>
  <c r="D6" i="4" s="1"/>
  <c r="D29" i="4" l="1"/>
  <c r="L3" i="4"/>
  <c r="G21" i="4"/>
  <c r="D39" i="4"/>
  <c r="D59" i="4" s="1"/>
  <c r="D40" i="4"/>
  <c r="D17" i="4"/>
  <c r="K3" i="4" s="1"/>
  <c r="D13" i="4"/>
  <c r="D12" i="4" s="1"/>
  <c r="H9" i="3" s="1"/>
  <c r="E9" i="3" s="1"/>
  <c r="H7" i="3"/>
  <c r="E7" i="3"/>
  <c r="F7" i="3" s="1"/>
  <c r="D2" i="4"/>
  <c r="E12" i="2"/>
  <c r="E9" i="2"/>
  <c r="E8" i="2"/>
  <c r="E7" i="2"/>
  <c r="E6" i="2" s="1"/>
  <c r="G5" i="3" l="1"/>
  <c r="D11" i="4"/>
  <c r="E5" i="2" s="1"/>
  <c r="G6" i="3"/>
  <c r="G7" i="2"/>
  <c r="D58" i="4"/>
  <c r="G5" i="2" l="1"/>
  <c r="E6" i="3"/>
  <c r="F6" i="3" s="1"/>
  <c r="H6" i="3"/>
  <c r="H5" i="3" l="1"/>
  <c r="E5" i="3"/>
  <c r="F5" i="3" s="1"/>
  <c r="D12" i="2" l="1"/>
  <c r="I9" i="2"/>
  <c r="I8" i="2"/>
  <c r="I7" i="2"/>
  <c r="H5" i="2"/>
  <c r="D5" i="2"/>
  <c r="D7" i="2" l="1"/>
  <c r="D8" i="2"/>
  <c r="I5" i="2"/>
  <c r="J12" i="2"/>
  <c r="G8" i="2"/>
  <c r="H8" i="2"/>
  <c r="D9" i="2"/>
  <c r="H12" i="2"/>
  <c r="I12" i="2"/>
  <c r="H7" i="2"/>
  <c r="H9" i="2"/>
  <c r="G9" i="2"/>
  <c r="F12" i="2" l="1"/>
  <c r="G3" i="3"/>
  <c r="K3" i="3" s="1"/>
  <c r="I3" i="3" s="1"/>
  <c r="J3" i="3" s="1"/>
  <c r="G4" i="3"/>
  <c r="K4" i="3" s="1"/>
  <c r="I4" i="3" s="1"/>
  <c r="J4" i="3" s="1"/>
  <c r="K12" i="2"/>
  <c r="F5" i="2"/>
  <c r="K5" i="2"/>
  <c r="J5" i="2"/>
  <c r="J9" i="2"/>
  <c r="F9" i="2"/>
  <c r="K9" i="2"/>
  <c r="K7" i="2"/>
  <c r="J7" i="2"/>
  <c r="F7" i="2"/>
  <c r="I13" i="2"/>
  <c r="H13" i="2"/>
  <c r="F8" i="2"/>
  <c r="J8" i="2"/>
  <c r="K8" i="2"/>
  <c r="G14" i="2" l="1"/>
  <c r="L4" i="3"/>
  <c r="L3" i="3"/>
  <c r="E3" i="3"/>
  <c r="F3" i="3" s="1"/>
  <c r="H3" i="3"/>
  <c r="E4" i="3"/>
  <c r="F4" i="3" s="1"/>
  <c r="H4" i="3"/>
  <c r="J4" i="2" l="1"/>
  <c r="K4" i="2"/>
</calcChain>
</file>

<file path=xl/sharedStrings.xml><?xml version="1.0" encoding="utf-8"?>
<sst xmlns="http://schemas.openxmlformats.org/spreadsheetml/2006/main" count="360" uniqueCount="321">
  <si>
    <t>Component/Sub-component</t>
  </si>
  <si>
    <t>Definition of beneficiaries (Adaptation benefits only)</t>
  </si>
  <si>
    <t>Assumption / Calculation</t>
  </si>
  <si>
    <t>Direct</t>
  </si>
  <si>
    <t>Indirect</t>
  </si>
  <si>
    <t>Assumption to avoid double counting</t>
  </si>
  <si>
    <t>HH</t>
  </si>
  <si>
    <t>Individual</t>
  </si>
  <si>
    <t>Men</t>
  </si>
  <si>
    <t>Women</t>
  </si>
  <si>
    <t>Outcome 1 - Restored landscapes are resilient and sustainably managed</t>
  </si>
  <si>
    <t>1.1 Improved participatory landscape and natural resources management and governance are established at watershed and village levels</t>
  </si>
  <si>
    <t>Direct: Participants in Land Management committies.  Inditrect beneficiaries = all population of all districts</t>
  </si>
  <si>
    <t xml:space="preserve">Areas are calculated on basis of sub-catchment map from SWALIM.  Direct benefits are captured under 1.2.  Indirect benefits represent the total district population. </t>
  </si>
  <si>
    <t>n-a</t>
  </si>
  <si>
    <t>Figures for 1.2 are also included in 2.1, but for different benefits</t>
  </si>
  <si>
    <t>1.2 Agricultural and Agro-pastoral Landscapes are restored and under sustainable management</t>
  </si>
  <si>
    <t>Direct: All people served by areas under improved landscape management, calculated at a factor of (average land size holding of 1ha/person)</t>
  </si>
  <si>
    <t xml:space="preserve">Based on an initial prioritization of works. Includes people served by all landscape restoration and sustainable management activities under 1.2 (refer to detail 1.2.1.1). Includes 3000 ha of total prosopis removal, replaced by 2900 ha reforested; 600 ha converted to agroforestry, 1200 ha covered by berkads, 22,000 ha covered by soil bunds,  2100 covered by rock catchments and 4000 ha by water reservoirs, as well as 9000 ha of riverbank rehabilitation. Figures are calculated on the basis of 1 person per ha. </t>
  </si>
  <si>
    <t>Outcome 2 Local livelihoods are resilient to climate change</t>
  </si>
  <si>
    <t>2.1 Resilient water supply is secured and sustainably managed</t>
  </si>
  <si>
    <t>Direct: people served by areas under improved water management and improved water conservation at landscape and farm level.  Indirect: district population</t>
  </si>
  <si>
    <t>Area under improved water management  and water savings technologies under 1.2 (areas served by Berkads, water pans, semi-circular bunds, rock catchments) + areas covered under 2.1.2 including Sabuun Barrage and 80,000 ha through rehabiltiation of irrigation schemes</t>
  </si>
  <si>
    <t>Figure for 2.1 includes same beneficiaries as 1.2, but different benefits.</t>
  </si>
  <si>
    <t xml:space="preserve">2.2 Local communities and governments have improved capacity for Climate Resilient Agriculture </t>
  </si>
  <si>
    <t>Direct: participatns in FFS and their households; indirect: each FFS participant scales to at least 5 people (extended family)</t>
  </si>
  <si>
    <t>Number of people who are receiving information on adapted agricultural practices through FFS (420 FFS of 30 people each and their households (considering average of 6.2 household members), as well as 1260 FFS facilitators)</t>
  </si>
  <si>
    <t>2.3 Farmers derive increased income from sustainable natural resource management and climate resilient value chains</t>
  </si>
  <si>
    <t>Direct beneficairies: Cooperative members and producer group members; indirect: each coop members extends benefits to at least 5 persons</t>
  </si>
  <si>
    <t>number of cooperative members recieving support and access to climate resilient technologies, considering each coop has average of 30 members (20 seed growing cooperatives, 30 nurseries and 30 feed producing cooperatives)  + members of producer groups, SME and private sector groups recieving agro-business trainings under 2.3.2, or 410 groups of 20 people) + VLSA members and its HH members</t>
  </si>
  <si>
    <t>Outcome 3 An improved institutional enabling environment for sustainable landscape management and climate resilient agriculture is in place at State and Federal Levels</t>
  </si>
  <si>
    <t>3.2 Increased access to climate information among last mile users</t>
  </si>
  <si>
    <t>Direct beneficiaries = district population * access rate; Indirect = total district population</t>
  </si>
  <si>
    <t>Number of people recieving improved access to climate information (all districts except jowhar) multiplied by the rate of access to communication technology (connectivity data, 44.7% in 2024)</t>
  </si>
  <si>
    <t>Total number</t>
  </si>
  <si>
    <t>Direct: total direct beneficiaries under output 3.2 (encompassing all other outputs) + the remaining proportion of Jowhar population that is not counted under 2.1.</t>
  </si>
  <si>
    <t>Total population in Somalia:</t>
  </si>
  <si>
    <t>Total population in target districts:</t>
  </si>
  <si>
    <t>Activities and Sub-activities</t>
  </si>
  <si>
    <t xml:space="preserve">Deliverables </t>
  </si>
  <si>
    <t>Direct Beneficiaries</t>
  </si>
  <si>
    <t>Notes</t>
  </si>
  <si>
    <t xml:space="preserve">Co-benefit 1: Reduced GHG emissions from AFOLU sector </t>
  </si>
  <si>
    <t>GHG emissions reduction</t>
  </si>
  <si>
    <t>EX-ACT</t>
  </si>
  <si>
    <t>41,800 ha under improved landscape management and 85,932 ha under improved CRA practices (incl. 80,000 ha under improved irrigation) restoration and improved CRA practices.  Please refer to Annex 2 – EXACT.</t>
  </si>
  <si>
    <t>Output 1.1 Improved participatory landscape and natural resources management and governance are established at watershed and village levels</t>
  </si>
  <si>
    <t>total of 1.1.1 and 1.1.2. Not counted in adaptation benefits</t>
  </si>
  <si>
    <t>Activity 1.1.1 Strengthen the information base for climate-informed local land use planning</t>
  </si>
  <si>
    <t>Co-benefit 2: Improved access to nutrition</t>
  </si>
  <si>
    <t xml:space="preserve"># of people with improved access to nutrition. </t>
  </si>
  <si>
    <t>Beneficiary surveys (baseline, mid-term, and final),</t>
  </si>
  <si>
    <t>People trained in FFS (Activity 2.2.1). Nutrition will be mainstreamed in FFS.</t>
  </si>
  <si>
    <t>Sub-activity 1.1.1.1 Develop a baseline study of land status</t>
  </si>
  <si>
    <t>One baseline study covering land cover, soil types and areas affected by different types of land degradation</t>
  </si>
  <si>
    <t xml:space="preserve">Sub-activity 1.1.1.2 Map the invasion of Prosopis </t>
  </si>
  <si>
    <t>1 Map of Prosopis invasion per district</t>
  </si>
  <si>
    <t>Activity 1.1.2 Develop climate-informed inclusive landscape management plans</t>
  </si>
  <si>
    <t xml:space="preserve">Sub-activity 1.1.2.1 Conduct targeting, cartography and conflict-informed FPIC </t>
  </si>
  <si>
    <t xml:space="preserve">A FPIC process for the project is completed </t>
  </si>
  <si>
    <t xml:space="preserve">Sub-activity 1.1.2.2 Assess water and land-related conflict risks </t>
  </si>
  <si>
    <t>A detailed conflict sensitivity assessment</t>
  </si>
  <si>
    <t>Sub-activity 1.1.2.3 Build capacity of Community Landscape Management Committees</t>
  </si>
  <si>
    <t>930 people in 31 LMCs trained and capacitated for the management of landscape</t>
  </si>
  <si>
    <t>people trained = 30 people in 31 LMC</t>
  </si>
  <si>
    <t xml:space="preserve">Sub-activity 1.1.2.4 Develop climate informed Landscape Management Plans </t>
  </si>
  <si>
    <t>31 LMP including landscape restoration options + annual monitoring reports</t>
  </si>
  <si>
    <t>output 1.2 Agricultural and Agro-pastoral Landscapes are restored and under sustainable management</t>
  </si>
  <si>
    <t>Activity 1.2.1 Conduct landscape restoration through local landscape management committees and community-based associations</t>
  </si>
  <si>
    <t>total of 1.2.1.1 and 1.2.1.2</t>
  </si>
  <si>
    <t>Sub-activity 1.2.1.1 Implement ecosystem-based adaptation priorities</t>
  </si>
  <si>
    <t>31 LMPs under implementation</t>
  </si>
  <si>
    <t>See details 1.2.1.1</t>
  </si>
  <si>
    <t>Sub-activity 1.2.1.1 Breakdown</t>
  </si>
  <si>
    <t xml:space="preserve">Sub-activity 1.2.1.2 Rehabilitate eroded riverbanks </t>
  </si>
  <si>
    <t>90km of eroded riverbanks rehabilitated</t>
  </si>
  <si>
    <t>each km  serving 100 ha</t>
  </si>
  <si>
    <t>ha reforested and rangelands rehabilitated</t>
  </si>
  <si>
    <t xml:space="preserve">Sub-activity 1.2.1.3 Provide training on landscape restoration monitoring </t>
  </si>
  <si>
    <t>One annual landscape restoration report in each State</t>
  </si>
  <si>
    <t>Same beneficiaries as sub-activity 1.1.2.3</t>
  </si>
  <si>
    <t>One berkad serves 100 ha (12 Berkad)</t>
  </si>
  <si>
    <t xml:space="preserve">Sub-activity 1.2.1.4 Support monitoring and data collection on EbA </t>
  </si>
  <si>
    <t xml:space="preserve">hectares where prosopis is removed or reduced (manual removal).  Areas where total removal occurs will be reforested. </t>
  </si>
  <si>
    <t>Output 2.1 Resilient water supply is secured and sustainably managed</t>
  </si>
  <si>
    <t>total of water-related activities in 1.2.1 and 2.1.2 (1 person per ha)</t>
  </si>
  <si>
    <t>each reservoir serves 100 ha</t>
  </si>
  <si>
    <t>Activity 2.1.1 Strengthen water management capacity at State and local level</t>
  </si>
  <si>
    <t>Direct beneficiaries doesn't include government staff</t>
  </si>
  <si>
    <t>each bund serves 2ha</t>
  </si>
  <si>
    <t>Sub-activity 2.1.1.1 Operationalize water user association committees (WUAC)</t>
  </si>
  <si>
    <t>31 WUAC operationalized.</t>
  </si>
  <si>
    <t>31 committees with 50 members each</t>
  </si>
  <si>
    <t>each cathcment serves 30 ha</t>
  </si>
  <si>
    <t xml:space="preserve">Sub-activity 2.1.1.2 Build governance, operational and management capacity of WUAC </t>
  </si>
  <si>
    <t>1550 people trained</t>
  </si>
  <si>
    <t>agroforesty</t>
  </si>
  <si>
    <t>Sub-activity 2.1.1.3 Develop and apply fee-based systems at WUAC level</t>
  </si>
  <si>
    <t>1 operational fee-based system per WUAC (31 in total)</t>
  </si>
  <si>
    <t>total ha for 1.2.1.1 (not double counting prosopis removal)</t>
  </si>
  <si>
    <t>Sub-activity 2.1.1.4 Conduct a water accounting and auditing study at State level</t>
  </si>
  <si>
    <t>1 water accounting and auditing study at State level (6 in total)</t>
  </si>
  <si>
    <t xml:space="preserve">Sub-activity 2.1.1.5 Conduct training on water accounting </t>
  </si>
  <si>
    <t>500 Water Ministry Staff (M/F) trained on Water accounting at State level + 1 training at Federal Level</t>
  </si>
  <si>
    <t>Sub-activity 2.1.1.6 Create open data systems for water accounting and crop monitoring</t>
  </si>
  <si>
    <t xml:space="preserve">1 open data system for crop and water monitoring </t>
  </si>
  <si>
    <t>Activity 2.1.2 Increase access to water resources and climate-smart irrigation infrastructure</t>
  </si>
  <si>
    <t>Total of 2.1.2.1, 2.1.2.2</t>
  </si>
  <si>
    <t xml:space="preserve">Sub-activity 2.1.2.1 Restore Sabuun Barrage and Supply canal in Jowhar </t>
  </si>
  <si>
    <t>One barrage + reservoir, outlet regulator and canal rehabilitated providing water to irrigate 50,000 ha</t>
  </si>
  <si>
    <t>total population served by Sabuun Barrage in Jowhar (as per USAID): Direct beneficiaries: Jowhar total population; Indirect Benefits to Afgoye, Merka, Balcad) = 1.5 million people</t>
  </si>
  <si>
    <t xml:space="preserve">Sub-activity 2.1.2.2 Upgrade secondary and tertiary canals to resilience standards </t>
  </si>
  <si>
    <t>16  irrigation schemes rehabilitated and upgraded to resilience standards</t>
  </si>
  <si>
    <t>Each irrigation scheme serves 5000 ha. 1 ha per farmer x 6.2 household members</t>
  </si>
  <si>
    <t xml:space="preserve">Sub-activity 2.1.2.3 Deploy water-saving technologies </t>
  </si>
  <si>
    <t>31 WUAC equipped with drip irrigation kits and night batteries</t>
  </si>
  <si>
    <t>Each WUAC covers 50 people + their households = 250 ha.  Each WUAC recieves 5 kits.  This figure is already counted in the figure for 2.1.2.2</t>
  </si>
  <si>
    <t xml:space="preserve">2.2 Local communities and governmenta have improved capacity for Climate Resilient Agriculture </t>
  </si>
  <si>
    <r>
      <t>Activity 2.2.1</t>
    </r>
    <r>
      <rPr>
        <sz val="9"/>
        <color theme="1"/>
        <rFont val="Arial"/>
        <family val="2"/>
      </rPr>
      <t xml:space="preserve"> </t>
    </r>
    <r>
      <rPr>
        <sz val="9"/>
        <color rgb="FF000000"/>
        <rFont val="Arial"/>
        <family val="2"/>
      </rPr>
      <t>Disseminate CRA practices to farmers</t>
    </r>
  </si>
  <si>
    <t xml:space="preserve">Sub-activity 2.2.1.1 Curriculum Development for FFS and APFS </t>
  </si>
  <si>
    <t>1 curriculum and materials developed for each technology promoted</t>
  </si>
  <si>
    <t xml:space="preserve">Sub-activity 2.2.1.2 Train FFS/APFS Trainers and Facilitators </t>
  </si>
  <si>
    <t>1260 facilitators/lead farmers trained</t>
  </si>
  <si>
    <t>3 facilitators per FFS (420 FFS) and their households</t>
  </si>
  <si>
    <t xml:space="preserve">Sub-activity 2.2.1.3 Deploy FFS/APFS on climate resilient agriculture </t>
  </si>
  <si>
    <t>12,600 people trained in CRA</t>
  </si>
  <si>
    <t>420 FFS of 30 participants each an their households</t>
  </si>
  <si>
    <t xml:space="preserve">Sub-activity 2.2.1.4 Conduct regular FFS technical and operational backstopping and monitoring </t>
  </si>
  <si>
    <t>Annual FFS monitoring reports; 9 Farmer advisory centres operational</t>
  </si>
  <si>
    <t>Activity 2.2.2 Build the capacity of GoS-MoAI at Local, State and Federal level to support communities in the adoption of CRA practices</t>
  </si>
  <si>
    <t xml:space="preserve">Sub-activity 2.2.2.1 Develop and deliver a public service retraining program for GoS-MoAI staff </t>
  </si>
  <si>
    <t>One public service retraining program developed.</t>
  </si>
  <si>
    <t xml:space="preserve">Sub-activity 2.2.2.2 Short-term training of GoS-MoAI technical and extension staff </t>
  </si>
  <si>
    <t>100 Staff are trained each year at State or Federal levels</t>
  </si>
  <si>
    <t>100 persons trained per year, over 4 years = 400 staff,
Direct beneficiaries doesn't include government staff</t>
  </si>
  <si>
    <t>420 GoS-MoAI Staff trained in CRA technologies</t>
  </si>
  <si>
    <t>40 people in 10 districts (excl. Jowhar) and 20 people at national level = 420 staff, 
Direct beneficiaries doesn't include government staff</t>
  </si>
  <si>
    <t>Sum of 2.3.1 (80 cooperatives of 30 members each * household members) and 2.3.3</t>
  </si>
  <si>
    <t>Activity 2.3.1 Improve access to climate resilient inputs for crop and livestock production</t>
  </si>
  <si>
    <t xml:space="preserve">Sub-activity 2.3.1.1 Conduct a seed market dynamics analysis </t>
  </si>
  <si>
    <t>1 Seed Market Dynamics Report including pricing and subsidy recommendations</t>
  </si>
  <si>
    <t>Sub-activity 2.3.1.2 Deliver training to on resilient seed characterization and certification.</t>
  </si>
  <si>
    <t>Sub-activity 2.3.1.3 Conduct seed certification</t>
  </si>
  <si>
    <t xml:space="preserve">20 seed varieties certified, and technical documents published </t>
  </si>
  <si>
    <t>Sub-activity 2.3.1.4 Acquire seed material and engage private sector to produce foundation seeds</t>
  </si>
  <si>
    <t>500 tons of resilient crop breeder seeds; 2.4 metric tons of 12 fodder crop varieties</t>
  </si>
  <si>
    <t xml:space="preserve">Sub-activity 2.3.1.5 Deliver material assistance and training for seed multiplication </t>
  </si>
  <si>
    <t>1800 farmers become resilient seed producers</t>
  </si>
  <si>
    <t>20 coops * 30 members + households</t>
  </si>
  <si>
    <t>Sub-activity 2.3.1.6 Deliver material assistance and training for fodder production</t>
  </si>
  <si>
    <t>8 fodder processing facilities in 4 districts</t>
  </si>
  <si>
    <t>30 coops of 30 members each and their households</t>
  </si>
  <si>
    <t xml:space="preserve">Sub-activity 2.3.1.7 Deliver material assistance and training for tree seedling production </t>
  </si>
  <si>
    <t>30 nurseries operational</t>
  </si>
  <si>
    <t>30 nurseries of 30 members each and their households</t>
  </si>
  <si>
    <t>Sub-activity 2.3.1.8 Construct climate resilient seed/feed storage facilities</t>
  </si>
  <si>
    <t>10 seed storage facilities operational</t>
  </si>
  <si>
    <r>
      <t>Activity 2.3.2</t>
    </r>
    <r>
      <rPr>
        <sz val="9"/>
        <color theme="1"/>
        <rFont val="Arial"/>
        <family val="2"/>
      </rPr>
      <t xml:space="preserve"> </t>
    </r>
    <r>
      <rPr>
        <sz val="9"/>
        <color rgb="FF000000"/>
        <rFont val="Arial"/>
        <family val="2"/>
      </rPr>
      <t>Build the capacity of producer groups to develop sustainable climate-informed business plans</t>
    </r>
  </si>
  <si>
    <t>Sub-activity 2.3.2.1 Build capacity for value addition, processing, packaging, marketing.</t>
  </si>
  <si>
    <t>8200 people trained in value addition, processing, packaging, marketing and financial management</t>
  </si>
  <si>
    <t>410 groups of 20 members, beneficiaries could overlap with ones under activity 2.2.1 or 2.3.1</t>
  </si>
  <si>
    <t>Sub-activity 2.3.2.2 Provide technical assistance on climate informed business planning</t>
  </si>
  <si>
    <t>410 business plans developed and submitted to financial institutions</t>
  </si>
  <si>
    <t>Sub-activity 2.3.2.3 Build, repair, retrofit or upgrade climate-resilient food storage facilities</t>
  </si>
  <si>
    <t>20 food storage facilities upgraded</t>
  </si>
  <si>
    <t>Activity 2.3.3 Increase MSME, cooperatives and farming group access to agricultural finance</t>
  </si>
  <si>
    <t xml:space="preserve">Sub-activity 2.3.3.1 Operationalize Village Savings and Loans Associations (VSLA) </t>
  </si>
  <si>
    <t>210 savings groups established</t>
  </si>
  <si>
    <t>10 people per group, 50% of FFS groups (same beneficiaries as 2.2.1), and their households</t>
  </si>
  <si>
    <t xml:space="preserve">Sub-activity 2.3.3.2 Support access for cooperatives to credits </t>
  </si>
  <si>
    <t>175 savings groups, cooperatives and SME incl. Seed grower cooperatives, accessing microfinance</t>
  </si>
  <si>
    <t xml:space="preserve">Sub-activity 2.3.3.3 Develop 4Ps between farmer cooperatives, Government, Private sector and finance institutions </t>
  </si>
  <si>
    <t>2 MOU/contracts and loan agreements signed</t>
  </si>
  <si>
    <t xml:space="preserve">Sub-activity 2.3.3.4 Assist financial institutions to develop innovative financial products </t>
  </si>
  <si>
    <t>2 new/improved financial products developed</t>
  </si>
  <si>
    <t>Activity 2.3.4 Increase all-season access to market for smallholder producers, cooperatives and farmer groups</t>
  </si>
  <si>
    <t xml:space="preserve">Sub-activity 2.3.4.1 Rehabilitate and upgrade rural roads, cattle corridors. </t>
  </si>
  <si>
    <t>150 km of rural roads</t>
  </si>
  <si>
    <t>FFS members and Coop/MSME group members and their households</t>
  </si>
  <si>
    <t xml:space="preserve">Sub-activity 2.3.4.2 Construct intermediary markets at district level. </t>
  </si>
  <si>
    <t>10 intermediary markets built</t>
  </si>
  <si>
    <t>3.1.1 Update legal and institutional frameworks for sustainable landscape management</t>
  </si>
  <si>
    <t>6 new regulations or by-laws</t>
  </si>
  <si>
    <t>Sub-activity 3.1.1.3 Develop Landscape Restoration and management (LRM) manual</t>
  </si>
  <si>
    <t>1 LRM Manual and guidance</t>
  </si>
  <si>
    <t>Sub-activity 3.1.1.4 Develop a national strategy and action plan for Prosopis management and control</t>
  </si>
  <si>
    <t>1 National Strategy and Action Plan for Prosopis control and management</t>
  </si>
  <si>
    <t xml:space="preserve">Sub-activity 3.1.1.5 Develop climate-proof agricultural infrastructure standards </t>
  </si>
  <si>
    <t>1 set of climate resilient infrastructure standards</t>
  </si>
  <si>
    <t>Activity 3.1.2 Strengthen policy dialogue and coordination between sectoral ministries at State levels</t>
  </si>
  <si>
    <t xml:space="preserve">Sub-activity 3.1.2.1 Assess existing coordination mechanisms </t>
  </si>
  <si>
    <t>1 landscape coordination mechanism assessment report for each state</t>
  </si>
  <si>
    <t xml:space="preserve">Sub-activity 3.1.2.2 Design an improved coordination framework </t>
  </si>
  <si>
    <t>1 new intersectoral coordination platform operational</t>
  </si>
  <si>
    <t xml:space="preserve">Sub-activity 3.1.2.3 Operationalize coordination mechanisms </t>
  </si>
  <si>
    <t>6 coordination mechanisms meeting biannually</t>
  </si>
  <si>
    <t xml:space="preserve">Activity 3.1.3 Strengthen the capacity of MoECC to manage, monitor and govern natural resources and implement Ecosystem-based Adaptation </t>
  </si>
  <si>
    <t xml:space="preserve">Sub-activity 3.1.3.1 Training on Ecosystem-based Adaptation for MoECC </t>
  </si>
  <si>
    <t>200 people trained in MoECC</t>
  </si>
  <si>
    <t xml:space="preserve">Sub-activity 3.1.3.2 Participatory monitoring of landscape restoration and Ecosystem-based Adaptation </t>
  </si>
  <si>
    <t>2 reports on evolution of restoration in targeted landscapes</t>
  </si>
  <si>
    <t>Sub-activity 3.1.3.3 Rehabilitate State-level infrastructure for observation, monitoring and management</t>
  </si>
  <si>
    <t>Five State MoECC offices are rehabilitated</t>
  </si>
  <si>
    <t>Sub-activity 3.1.3.4 Develop the implementation plan for the National Environmental Management and Protection Act</t>
  </si>
  <si>
    <t>1 implementation plan for the National Environmental Management and Protection Act</t>
  </si>
  <si>
    <t>Sub-activity 3.1.1.5 Support MoECC to operationalize ESIA regulations</t>
  </si>
  <si>
    <t>ESIA regulations operationalized</t>
  </si>
  <si>
    <t>Activity 3.1.4 Build capacity for the monitoring, assessment, analysis and early warning related to the impacts of climate on food and nutrition security</t>
  </si>
  <si>
    <t>Sub-activity 3.1.4.1 Training on the assessment of the impact of climate and other risk factors on food security, nutrition and livelihood outcomes</t>
  </si>
  <si>
    <t>One training at national level and one training at FMS Level in 10 districts</t>
  </si>
  <si>
    <t>Sub-activity 3.1.4.2 Conduct seasonal assessments and analyses of the impact of climate and other risk factors on food &amp; nutrition security</t>
  </si>
  <si>
    <t>One seasonal report in each State</t>
  </si>
  <si>
    <t>Sub-activity 3.1.4.3 Produce and disseminate information products on the impact of climate on food security and nutrition</t>
  </si>
  <si>
    <t>Two annual briefing in each State</t>
  </si>
  <si>
    <t xml:space="preserve">Sub-activity 3.1.4.4 Train media professionals on climate change adaptation </t>
  </si>
  <si>
    <t>Three trainings for media professionals and the institutions</t>
  </si>
  <si>
    <r>
      <t>Activity 3.1.5</t>
    </r>
    <r>
      <rPr>
        <sz val="9"/>
        <color theme="1"/>
        <rFont val="Arial"/>
        <family val="2"/>
      </rPr>
      <t xml:space="preserve"> </t>
    </r>
    <r>
      <rPr>
        <sz val="9"/>
        <color rgb="FF000000"/>
        <rFont val="Arial"/>
        <family val="2"/>
      </rPr>
      <t>Build capacity of MoAI for climate informed irrigation planning</t>
    </r>
  </si>
  <si>
    <t xml:space="preserve">Sub-activity 3.1.5.1 Create an Irrigation plan task force </t>
  </si>
  <si>
    <t>Irrigation task force meetings</t>
  </si>
  <si>
    <t>Sub-activity 3.1.5.2 Conduct consultations with water and land users</t>
  </si>
  <si>
    <t xml:space="preserve">Local consultation meetings </t>
  </si>
  <si>
    <t xml:space="preserve">Sub-activity 3.1.5.3 Develop an irrigation master plan </t>
  </si>
  <si>
    <t xml:space="preserve">One irrigation master plan </t>
  </si>
  <si>
    <t>Total district population * connectivity rate (44.7%)</t>
  </si>
  <si>
    <t>Activity 3.2.1 Collect, disseminate and share relevant climate and land data to support decision making, early warning and early action at all levels.</t>
  </si>
  <si>
    <t xml:space="preserve">Sub-activity 3.2.1.1 Redesign and deploy an open-access GIS-based climate information platform </t>
  </si>
  <si>
    <t>One open access GIS-based climate information platform</t>
  </si>
  <si>
    <t>Sub-activity 3.2.1.2 Develop and deploy digital EWS and decision-making tools for farmers and livestock producers</t>
  </si>
  <si>
    <t>1 free digital EWS operational</t>
  </si>
  <si>
    <t xml:space="preserve">Sub-activity 3.2.1.3 Develop a sustainability strategy for digital EWS </t>
  </si>
  <si>
    <t>One sustainability strategy for digital EWS</t>
  </si>
  <si>
    <t xml:space="preserve">Sub-activity 3.2.1.4 Design and operationalize SWALIM information management centers </t>
  </si>
  <si>
    <t>Two fully operational SWALIM IMCs</t>
  </si>
  <si>
    <t xml:space="preserve">Sub-activity 3.2.1.5 Provide support to the IMC on coordination and M&amp;E </t>
  </si>
  <si>
    <t>Sub-activity 3.2.1.6 Develop awareness raising radio programmes.</t>
  </si>
  <si>
    <t>Radio programmes are disseminated</t>
  </si>
  <si>
    <t>Direct beneficiaries could overlap with the ones under other outputs</t>
  </si>
  <si>
    <t>OTHER BASE DATA</t>
  </si>
  <si>
    <t>Calculations for value of infrastructure</t>
  </si>
  <si>
    <t>Number of FFS</t>
  </si>
  <si>
    <t>Current value of existing infrastructure</t>
  </si>
  <si>
    <t>Value is low due to state of degradation from years of war (estimated at rate of degradation according to physical observation and vulnerability studies)</t>
  </si>
  <si>
    <t>People in FFS</t>
  </si>
  <si>
    <t>Cost of rehabilitation and upgrade</t>
  </si>
  <si>
    <t>Calculated on value of goods and services procured for the work</t>
  </si>
  <si>
    <t>Number of sub-watersheds</t>
  </si>
  <si>
    <t>Cost of operations and maintenance of rehabilitated infrastructure over duration of project</t>
  </si>
  <si>
    <t>Cost of operations and maintenance estimated at 3% of investment cost annually over 6 years (construction completed at year 1)</t>
  </si>
  <si>
    <t>Number of WUAC</t>
  </si>
  <si>
    <t>Total Value</t>
  </si>
  <si>
    <t>Number of LMC</t>
  </si>
  <si>
    <t>Number of producer groups</t>
  </si>
  <si>
    <t>People per producer group</t>
  </si>
  <si>
    <t>People per ha</t>
  </si>
  <si>
    <t>People per household</t>
  </si>
  <si>
    <t>Total number of districts (incl. Cofinancing)</t>
  </si>
  <si>
    <t>Number of districts funded by GCF</t>
  </si>
  <si>
    <t>Connectivity rate</t>
  </si>
  <si>
    <t>Budget spent on infrastructure</t>
  </si>
  <si>
    <t>Includes Cost of Roads, Rural Markets (2.3.4.1, 2.3.4.2), Storage Facilities (2.3.2.3 ans 2.3.1.9), and irrigation infrastructure (2.1.2)</t>
  </si>
  <si>
    <t>SOMALIA - 2021 POPULATION FIGURES AND DISAGGREGATION</t>
  </si>
  <si>
    <t>https://data.humdata.org/dataset/cod-ps-som</t>
  </si>
  <si>
    <t>Region</t>
  </si>
  <si>
    <t>District</t>
  </si>
  <si>
    <t>Total population estimate</t>
  </si>
  <si>
    <t>Lower Juba</t>
  </si>
  <si>
    <t>Kismayo</t>
  </si>
  <si>
    <t>Lower Shabelle</t>
  </si>
  <si>
    <t>Afgooye</t>
  </si>
  <si>
    <t>Baraawe</t>
  </si>
  <si>
    <t>Kurtunwaarey</t>
  </si>
  <si>
    <t>Qoryooley</t>
  </si>
  <si>
    <t>Middle Shabelle</t>
  </si>
  <si>
    <t>Cadale</t>
  </si>
  <si>
    <t>Mudug</t>
  </si>
  <si>
    <t>Hobyo</t>
  </si>
  <si>
    <t>Nugaal</t>
  </si>
  <si>
    <t>Eyl</t>
  </si>
  <si>
    <t>Garowe</t>
  </si>
  <si>
    <t>Togdheer</t>
  </si>
  <si>
    <t>Owdweyne</t>
  </si>
  <si>
    <t>Jowhar</t>
  </si>
  <si>
    <t>TOTAL</t>
  </si>
  <si>
    <t>GCF Result Area</t>
  </si>
  <si>
    <t>IRMF Indicator</t>
  </si>
  <si>
    <t>Means of Verification (MoV)</t>
  </si>
  <si>
    <t>Baseline</t>
  </si>
  <si>
    <t>Targets</t>
  </si>
  <si>
    <t>Direct ben at Mid-Term</t>
  </si>
  <si>
    <t>Women at mid-term</t>
  </si>
  <si>
    <t>TOTAL DIRECT Beneficiaries FINAL</t>
  </si>
  <si>
    <t>Women (50%) Final Target</t>
  </si>
  <si>
    <t>Indirect at mid-term</t>
  </si>
  <si>
    <t>Women indirect at mid term</t>
  </si>
  <si>
    <t>FINAL INDIRECT</t>
  </si>
  <si>
    <t>Final indirect WOMEN (50%)</t>
  </si>
  <si>
    <t>ARA1 Most vulnerable people and communities</t>
  </si>
  <si>
    <t>Core 2: Direct and indirect beneficiaries reached</t>
  </si>
  <si>
    <t>Yearly progress reports and final evaluation; Progress reports from interventions and the constant monitoring</t>
  </si>
  <si>
    <t xml:space="preserve">Note: This represents the total number of beneficiaries including those who will have resilient livelihood options by receiving training and capacity building on the implementation of CRA and by benefiting from improved access to water for CRA, those who will have access to improved climate information services and awareness-raising activities, and those served by improved landscape management.   Calculations: This is the global number of beneficiaries (please refer to Annex 23 for details).  Indirect beneficiaries represent the remainder of the total district population. Assumptions: No major conflict occurs, no major change in presence of displaced persons. Cell phone connectivity is stable or increasing; </t>
  </si>
  <si>
    <t xml:space="preserve">ARA2 Health, well-being, food and water security
</t>
  </si>
  <si>
    <t xml:space="preserve">Core 2: Direct and indirect beneficiaries reached
</t>
  </si>
  <si>
    <t>Supplementary 2.1: Beneficiaries (female/male) adopting improved and/or new climate-resilient livelihood options</t>
  </si>
  <si>
    <t>Yearly progress reports and final evaluation; Progress reports from interventions and the constant monitoring; Survey of project beneficiaries</t>
  </si>
  <si>
    <t xml:space="preserve">Note: This rerpesents beneficiaries who recieve benefits from activities 1.2.1.1, 2.1.2.2, 2.2.1 and 2.3.1, to avoid double counting. It is a subset of Core 2.   Assumptions: No major conflict occurs, no major change in presence of displaced persons. </t>
  </si>
  <si>
    <t>ARA2 Health, well-being, food and water security</t>
  </si>
  <si>
    <t>Supplementary 2.3: Beneficiaries (female/male) with more climate-resilient water security</t>
  </si>
  <si>
    <t xml:space="preserve">This includes beneficiaries under output 2.1. Beneficiaries estimated are included in Core 2. </t>
  </si>
  <si>
    <t>Supplementary 2.4: Beneficiaries (female/male) covered by new or improved early warning systems</t>
  </si>
  <si>
    <t xml:space="preserve">This includes all individuals (male and female) that are covered by improved early warning systems for climate change related risks and hazards (output 3.2). </t>
  </si>
  <si>
    <t>ARA3 Intrastructure and built environment</t>
  </si>
  <si>
    <t>Core 3: Value of physical assets made more resilient to the effects of climate change and/or more able to reduce GHG emissions</t>
  </si>
  <si>
    <t xml:space="preserve">This is the economic value of infrastructure built, it is calculated as a factor of the cost of rehabilitation + annual operations and maintenance costs for the duration of the project. It considers that current infrastructure is 90% degraded, and annual operations and maintenance costs are calculated at 3% annually.   </t>
  </si>
  <si>
    <t>ARA4 Ecosystems and ecosystem services</t>
  </si>
  <si>
    <t>Core 4: Hectares of natural resources brought under improved low-emission and/or climate-resilient management practice</t>
  </si>
  <si>
    <t>SWALIM, earthmap
Landscape Committee Reports, physical observation</t>
  </si>
  <si>
    <t>This is calculated using the number of FFS participants (420*30) calculated at rate of 1 person per ha, at a 75% adoption rate + adding the total area under improved landscape management under activity 1.2.1.   Assumptions: A 75% adoption rate is retained for the CRA practices. No major conflict occurs, no major change in presence of displaced persons. Adoption of project technologies proceeds as planned.</t>
  </si>
  <si>
    <t>3.1 Legal frameworks and implementation modalities for NRM and CRA are improved</t>
  </si>
  <si>
    <t>Sub-activity 3.1.1.1 Develop Landscape management monitoring modalities.</t>
  </si>
  <si>
    <t xml:space="preserve">1 Landscape management monitoring modality report </t>
  </si>
  <si>
    <t>Sub-activity 3.1.1.2 Strengthen capacity for landscape management monitoring through State regulations.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</si>
</sst>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 #,##0_-;_-* &quot;-&quot;??_-;_-@_-"/>
    <numFmt numFmtId="166" formatCode="0.0%"/>
    <numFmt numFmtId="167" formatCode="_(* #,##0_);_(* \(#,##0\);_(* &quot;-&quot;??_);_(@_)"/>
  </numFmts>
  <fonts count="22" x14ac:knownFonts="1">
    <font>
      <sz val="12"/>
      <color theme="1"/>
      <name val="Aptos Narrow"/>
      <family val="2"/>
      <scheme val="minor"/>
    </font>
    <font>
      <sz val="12"/>
      <color theme="1"/>
      <name val="Aptos Narrow"/>
      <family val="2"/>
      <scheme val="minor"/>
    </font>
    <font>
      <b/>
      <sz val="10"/>
      <color rgb="FF000000"/>
      <name val="Arial"/>
      <family val="2"/>
    </font>
    <font>
      <sz val="10"/>
      <color rgb="FF000000"/>
      <name val="Arial"/>
      <family val="2"/>
    </font>
    <font>
      <b/>
      <sz val="10"/>
      <color theme="0"/>
      <name val="Arial"/>
      <family val="2"/>
    </font>
    <font>
      <b/>
      <sz val="10"/>
      <color theme="1"/>
      <name val="Arial"/>
      <family val="2"/>
    </font>
    <font>
      <sz val="10"/>
      <color theme="1"/>
      <name val="Arial"/>
      <family val="2"/>
    </font>
    <font>
      <sz val="10"/>
      <name val="Arial"/>
      <family val="2"/>
    </font>
    <font>
      <u/>
      <sz val="10"/>
      <color rgb="FF000000"/>
      <name val="Arial"/>
      <family val="2"/>
    </font>
    <font>
      <u/>
      <sz val="12"/>
      <color theme="10"/>
      <name val="Aptos Narrow"/>
      <family val="2"/>
      <scheme val="minor"/>
    </font>
    <font>
      <b/>
      <sz val="9"/>
      <color rgb="FF000000"/>
      <name val="Arial"/>
      <family val="2"/>
    </font>
    <font>
      <b/>
      <sz val="12"/>
      <color theme="1"/>
      <name val="Aptos Narrow"/>
      <scheme val="minor"/>
    </font>
    <font>
      <b/>
      <sz val="9"/>
      <color theme="0"/>
      <name val="Arial"/>
      <family val="2"/>
    </font>
    <font>
      <b/>
      <sz val="9"/>
      <color theme="1"/>
      <name val="Arial"/>
      <family val="2"/>
    </font>
    <font>
      <sz val="9"/>
      <color theme="1"/>
      <name val="Arial"/>
      <family val="2"/>
    </font>
    <font>
      <sz val="9"/>
      <color rgb="FF000000"/>
      <name val="Arial"/>
      <family val="2"/>
    </font>
    <font>
      <i/>
      <sz val="9"/>
      <color rgb="FF000000"/>
      <name val="Arial"/>
      <family val="2"/>
    </font>
    <font>
      <sz val="9"/>
      <color theme="0"/>
      <name val="Arial"/>
      <family val="2"/>
    </font>
    <font>
      <i/>
      <sz val="9"/>
      <color theme="1"/>
      <name val="Arial"/>
      <family val="2"/>
    </font>
    <font>
      <sz val="9"/>
      <color rgb="FFFF0000"/>
      <name val="Arial"/>
      <family val="2"/>
    </font>
    <font>
      <u/>
      <sz val="9"/>
      <color theme="10"/>
      <name val="Arial"/>
      <family val="2"/>
    </font>
    <font>
      <u/>
      <sz val="9"/>
      <color rgb="FF0563C1"/>
      <name val="Arial"/>
      <family val="2"/>
    </font>
  </fonts>
  <fills count="10">
    <fill>
      <patternFill patternType="none"/>
    </fill>
    <fill>
      <patternFill patternType="gray125"/>
    </fill>
    <fill>
      <patternFill patternType="solid">
        <fgColor theme="9" tint="-0.49998474074526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14999847407452621"/>
        <bgColor indexed="64"/>
      </patternFill>
    </fill>
    <fill>
      <patternFill patternType="solid">
        <fgColor rgb="FFFFFFFF"/>
        <bgColor indexed="64"/>
      </patternFill>
    </fill>
  </fills>
  <borders count="1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9" fillId="0" borderId="0" applyNumberFormat="0" applyFill="0" applyBorder="0" applyAlignment="0" applyProtection="0"/>
  </cellStyleXfs>
  <cellXfs count="134">
    <xf numFmtId="0" fontId="0" fillId="0" borderId="0" xfId="0"/>
    <xf numFmtId="0" fontId="4" fillId="2" borderId="6" xfId="0" applyFont="1" applyFill="1" applyBorder="1" applyAlignment="1">
      <alignment horizontal="center" vertical="center"/>
    </xf>
    <xf numFmtId="0" fontId="5" fillId="3" borderId="6" xfId="0" applyFont="1" applyFill="1" applyBorder="1" applyAlignment="1">
      <alignment vertical="center"/>
    </xf>
    <xf numFmtId="0" fontId="6" fillId="3" borderId="6" xfId="0" applyFont="1" applyFill="1" applyBorder="1" applyAlignment="1">
      <alignment vertical="center" wrapText="1"/>
    </xf>
    <xf numFmtId="0" fontId="5" fillId="3" borderId="6" xfId="0" applyFont="1" applyFill="1" applyBorder="1" applyAlignment="1">
      <alignment horizontal="right" vertical="center" wrapText="1"/>
    </xf>
    <xf numFmtId="0" fontId="6" fillId="3" borderId="6" xfId="0" applyFont="1" applyFill="1" applyBorder="1" applyAlignment="1">
      <alignment vertical="center"/>
    </xf>
    <xf numFmtId="0" fontId="6" fillId="0" borderId="6" xfId="0" applyFont="1" applyBorder="1" applyAlignment="1">
      <alignment vertical="center" wrapText="1"/>
    </xf>
    <xf numFmtId="0" fontId="7" fillId="0" borderId="1" xfId="0" applyFont="1" applyBorder="1" applyAlignment="1">
      <alignment vertical="center" wrapText="1"/>
    </xf>
    <xf numFmtId="165" fontId="6" fillId="0" borderId="6" xfId="1" applyNumberFormat="1" applyFont="1" applyBorder="1" applyAlignment="1">
      <alignment horizontal="center" vertical="center"/>
    </xf>
    <xf numFmtId="165" fontId="6" fillId="0" borderId="6" xfId="1" applyNumberFormat="1" applyFont="1" applyFill="1" applyBorder="1" applyAlignment="1">
      <alignment vertical="center"/>
    </xf>
    <xf numFmtId="165" fontId="6" fillId="0" borderId="6" xfId="1" applyNumberFormat="1" applyFont="1" applyBorder="1" applyAlignment="1">
      <alignment vertical="center"/>
    </xf>
    <xf numFmtId="165" fontId="6" fillId="3" borderId="6" xfId="1" applyNumberFormat="1" applyFont="1" applyFill="1" applyBorder="1" applyAlignment="1">
      <alignment vertical="center"/>
    </xf>
    <xf numFmtId="0" fontId="6" fillId="0" borderId="1" xfId="0" applyFont="1" applyBorder="1" applyAlignment="1">
      <alignment vertical="center" wrapText="1"/>
    </xf>
    <xf numFmtId="0" fontId="2" fillId="3" borderId="6" xfId="0" applyFont="1" applyFill="1" applyBorder="1" applyAlignment="1">
      <alignment vertical="center"/>
    </xf>
    <xf numFmtId="0" fontId="6" fillId="0" borderId="6" xfId="0" applyFont="1" applyBorder="1" applyAlignment="1">
      <alignment vertical="center"/>
    </xf>
    <xf numFmtId="165" fontId="6" fillId="0" borderId="6" xfId="1" applyNumberFormat="1" applyFont="1" applyFill="1" applyBorder="1" applyAlignment="1">
      <alignment horizontal="center" vertical="center"/>
    </xf>
    <xf numFmtId="0" fontId="5" fillId="4" borderId="6" xfId="0" applyFont="1" applyFill="1" applyBorder="1" applyAlignment="1">
      <alignment vertical="center" wrapText="1"/>
    </xf>
    <xf numFmtId="165" fontId="5" fillId="4" borderId="6" xfId="1" applyNumberFormat="1" applyFont="1" applyFill="1" applyBorder="1" applyAlignment="1">
      <alignment horizontal="center" vertical="center"/>
    </xf>
    <xf numFmtId="165" fontId="5" fillId="4" borderId="6" xfId="1" applyNumberFormat="1" applyFont="1" applyFill="1" applyBorder="1" applyAlignment="1">
      <alignment vertical="center"/>
    </xf>
    <xf numFmtId="0" fontId="0" fillId="0" borderId="0" xfId="0" applyAlignment="1">
      <alignment wrapText="1"/>
    </xf>
    <xf numFmtId="0" fontId="6" fillId="0" borderId="0" xfId="0" applyFont="1" applyAlignment="1">
      <alignment vertical="center" wrapText="1"/>
    </xf>
    <xf numFmtId="167" fontId="0" fillId="0" borderId="0" xfId="1" applyNumberFormat="1" applyFont="1" applyAlignment="1">
      <alignment wrapText="1"/>
    </xf>
    <xf numFmtId="0" fontId="0" fillId="0" borderId="0" xfId="0" applyAlignment="1">
      <alignment vertical="center" wrapText="1"/>
    </xf>
    <xf numFmtId="0" fontId="10" fillId="6" borderId="6" xfId="0" applyFont="1" applyFill="1" applyBorder="1" applyAlignment="1">
      <alignment horizontal="center" wrapText="1"/>
    </xf>
    <xf numFmtId="167" fontId="10" fillId="6" borderId="6" xfId="1" applyNumberFormat="1" applyFont="1" applyFill="1" applyBorder="1" applyAlignment="1">
      <alignment horizontal="center" wrapText="1"/>
    </xf>
    <xf numFmtId="0" fontId="11" fillId="8" borderId="0" xfId="0" applyFont="1" applyFill="1" applyAlignment="1">
      <alignment wrapText="1"/>
    </xf>
    <xf numFmtId="167" fontId="11" fillId="8" borderId="0" xfId="1" applyNumberFormat="1" applyFont="1" applyFill="1" applyAlignment="1">
      <alignment wrapText="1"/>
    </xf>
    <xf numFmtId="0" fontId="0" fillId="0" borderId="12" xfId="0" applyBorder="1" applyAlignment="1">
      <alignment wrapText="1"/>
    </xf>
    <xf numFmtId="167" fontId="0" fillId="0" borderId="12" xfId="1" applyNumberFormat="1" applyFont="1" applyBorder="1" applyAlignment="1">
      <alignment wrapText="1"/>
    </xf>
    <xf numFmtId="167" fontId="0" fillId="0" borderId="12" xfId="1" applyNumberFormat="1" applyFont="1" applyFill="1" applyBorder="1" applyAlignment="1">
      <alignment wrapText="1"/>
    </xf>
    <xf numFmtId="164" fontId="0" fillId="0" borderId="12" xfId="0" applyNumberFormat="1" applyBorder="1"/>
    <xf numFmtId="167" fontId="0" fillId="8" borderId="12" xfId="1" applyNumberFormat="1" applyFont="1" applyFill="1" applyBorder="1" applyAlignment="1">
      <alignment wrapText="1"/>
    </xf>
    <xf numFmtId="164" fontId="0" fillId="8" borderId="12" xfId="0" applyNumberFormat="1" applyFill="1" applyBorder="1"/>
    <xf numFmtId="0" fontId="2" fillId="0" borderId="16" xfId="0" applyFont="1" applyBorder="1" applyAlignment="1">
      <alignment horizontal="center" vertical="center" wrapText="1"/>
    </xf>
    <xf numFmtId="167" fontId="0" fillId="0" borderId="16" xfId="1" applyNumberFormat="1" applyFont="1" applyFill="1" applyBorder="1" applyAlignment="1">
      <alignment wrapText="1"/>
    </xf>
    <xf numFmtId="167" fontId="0" fillId="0" borderId="17" xfId="1" applyNumberFormat="1" applyFont="1" applyFill="1" applyBorder="1" applyAlignment="1">
      <alignment wrapText="1"/>
    </xf>
    <xf numFmtId="167" fontId="0" fillId="0" borderId="18" xfId="1" applyNumberFormat="1" applyFont="1" applyFill="1" applyBorder="1" applyAlignment="1">
      <alignment wrapText="1"/>
    </xf>
    <xf numFmtId="0" fontId="0" fillId="0" borderId="16" xfId="0" applyBorder="1" applyAlignment="1">
      <alignment wrapText="1"/>
    </xf>
    <xf numFmtId="0" fontId="8" fillId="0" borderId="12" xfId="0" applyFont="1" applyBorder="1" applyAlignment="1">
      <alignment vertical="center" wrapText="1"/>
    </xf>
    <xf numFmtId="0" fontId="3" fillId="0" borderId="12" xfId="0" applyFont="1" applyBorder="1" applyAlignment="1">
      <alignment vertical="center" wrapText="1"/>
    </xf>
    <xf numFmtId="0" fontId="3" fillId="0" borderId="12" xfId="0" applyFont="1" applyBorder="1" applyAlignment="1">
      <alignment horizontal="center" vertical="center" wrapText="1"/>
    </xf>
    <xf numFmtId="0" fontId="8" fillId="0" borderId="12" xfId="0" applyFont="1" applyBorder="1" applyAlignment="1">
      <alignment horizontal="left" vertical="top" wrapText="1"/>
    </xf>
    <xf numFmtId="0" fontId="3" fillId="0" borderId="12" xfId="0" applyFont="1" applyBorder="1" applyAlignment="1">
      <alignment horizontal="center" vertical="top" wrapText="1"/>
    </xf>
    <xf numFmtId="0" fontId="0" fillId="0" borderId="12" xfId="0" applyBorder="1" applyAlignment="1">
      <alignment vertical="top" wrapText="1"/>
    </xf>
    <xf numFmtId="0" fontId="13" fillId="6" borderId="6" xfId="0" applyFont="1" applyFill="1" applyBorder="1" applyAlignment="1">
      <alignment wrapText="1"/>
    </xf>
    <xf numFmtId="0" fontId="14" fillId="0" borderId="0" xfId="0" applyFont="1" applyAlignment="1">
      <alignment wrapText="1"/>
    </xf>
    <xf numFmtId="167" fontId="15" fillId="9" borderId="9" xfId="1" applyNumberFormat="1" applyFont="1" applyFill="1" applyBorder="1" applyAlignment="1">
      <alignment vertical="center" wrapText="1"/>
    </xf>
    <xf numFmtId="0" fontId="14" fillId="0" borderId="0" xfId="0" applyFont="1"/>
    <xf numFmtId="167" fontId="12" fillId="7" borderId="6" xfId="1" applyNumberFormat="1" applyFont="1" applyFill="1" applyBorder="1" applyAlignment="1">
      <alignment vertical="center" wrapText="1"/>
    </xf>
    <xf numFmtId="0" fontId="17" fillId="7" borderId="6" xfId="0" applyFont="1" applyFill="1" applyBorder="1" applyAlignment="1">
      <alignment vertical="center" wrapText="1"/>
    </xf>
    <xf numFmtId="0" fontId="15" fillId="9" borderId="11" xfId="0" applyFont="1" applyFill="1" applyBorder="1" applyAlignment="1">
      <alignment vertical="center" wrapText="1"/>
    </xf>
    <xf numFmtId="167" fontId="15" fillId="9" borderId="10" xfId="1" applyNumberFormat="1" applyFont="1" applyFill="1" applyBorder="1" applyAlignment="1">
      <alignment vertical="center" wrapText="1"/>
    </xf>
    <xf numFmtId="167" fontId="14" fillId="4" borderId="6" xfId="1" applyNumberFormat="1" applyFont="1" applyFill="1" applyBorder="1" applyAlignment="1">
      <alignment wrapText="1"/>
    </xf>
    <xf numFmtId="0" fontId="14" fillId="4" borderId="6" xfId="0" applyFont="1" applyFill="1" applyBorder="1" applyAlignment="1">
      <alignment wrapText="1"/>
    </xf>
    <xf numFmtId="0" fontId="16" fillId="9" borderId="10" xfId="0" applyFont="1" applyFill="1" applyBorder="1" applyAlignment="1">
      <alignment vertical="center" wrapText="1"/>
    </xf>
    <xf numFmtId="0" fontId="15" fillId="9" borderId="10" xfId="0" applyFont="1" applyFill="1" applyBorder="1" applyAlignment="1">
      <alignment vertical="center" wrapText="1"/>
    </xf>
    <xf numFmtId="0" fontId="15" fillId="0" borderId="6" xfId="0" applyFont="1" applyBorder="1" applyAlignment="1">
      <alignment vertical="center" wrapText="1"/>
    </xf>
    <xf numFmtId="0" fontId="14" fillId="0" borderId="6" xfId="0" applyFont="1" applyBorder="1" applyAlignment="1">
      <alignment vertical="center" wrapText="1"/>
    </xf>
    <xf numFmtId="167" fontId="14" fillId="0" borderId="6" xfId="1" applyNumberFormat="1" applyFont="1" applyBorder="1" applyAlignment="1">
      <alignment wrapText="1"/>
    </xf>
    <xf numFmtId="0" fontId="14" fillId="0" borderId="6" xfId="0" applyFont="1" applyBorder="1" applyAlignment="1">
      <alignment wrapText="1"/>
    </xf>
    <xf numFmtId="167" fontId="14" fillId="0" borderId="0" xfId="0" applyNumberFormat="1" applyFont="1" applyAlignment="1">
      <alignment wrapText="1"/>
    </xf>
    <xf numFmtId="167" fontId="14" fillId="5" borderId="6" xfId="1" applyNumberFormat="1" applyFont="1" applyFill="1" applyBorder="1" applyAlignment="1">
      <alignment horizontal="center" vertical="center" wrapText="1"/>
    </xf>
    <xf numFmtId="167" fontId="14" fillId="5" borderId="6" xfId="1" applyNumberFormat="1" applyFont="1" applyFill="1" applyBorder="1" applyAlignment="1">
      <alignment horizontal="left" wrapText="1"/>
    </xf>
    <xf numFmtId="164" fontId="14" fillId="0" borderId="6" xfId="1" applyFont="1" applyBorder="1" applyAlignment="1">
      <alignment horizontal="center" wrapText="1"/>
    </xf>
    <xf numFmtId="167" fontId="18" fillId="0" borderId="6" xfId="1" applyNumberFormat="1" applyFont="1" applyBorder="1" applyAlignment="1">
      <alignment horizontal="left" vertical="center" wrapText="1"/>
    </xf>
    <xf numFmtId="164" fontId="14" fillId="5" borderId="6" xfId="1" applyFont="1" applyFill="1" applyBorder="1" applyAlignment="1">
      <alignment horizontal="center" wrapText="1"/>
    </xf>
    <xf numFmtId="167" fontId="14" fillId="0" borderId="6" xfId="1" applyNumberFormat="1" applyFont="1" applyBorder="1" applyAlignment="1">
      <alignment horizontal="center" vertical="center" wrapText="1"/>
    </xf>
    <xf numFmtId="167" fontId="14" fillId="0" borderId="6" xfId="0" applyNumberFormat="1" applyFont="1" applyBorder="1" applyAlignment="1">
      <alignment wrapText="1"/>
    </xf>
    <xf numFmtId="164" fontId="14" fillId="0" borderId="6" xfId="0" applyNumberFormat="1" applyFont="1" applyBorder="1" applyAlignment="1">
      <alignment wrapText="1"/>
    </xf>
    <xf numFmtId="0" fontId="14" fillId="0" borderId="1" xfId="0" applyFont="1" applyBorder="1" applyAlignment="1">
      <alignment vertical="center" wrapText="1"/>
    </xf>
    <xf numFmtId="167" fontId="14" fillId="0" borderId="1" xfId="1" applyNumberFormat="1" applyFont="1" applyBorder="1" applyAlignment="1">
      <alignment wrapText="1"/>
    </xf>
    <xf numFmtId="0" fontId="14" fillId="0" borderId="1" xfId="0" applyFont="1" applyBorder="1" applyAlignment="1">
      <alignment wrapText="1"/>
    </xf>
    <xf numFmtId="0" fontId="14" fillId="0" borderId="2" xfId="0" applyFont="1" applyBorder="1" applyAlignment="1">
      <alignment vertical="center" wrapText="1"/>
    </xf>
    <xf numFmtId="0" fontId="14" fillId="0" borderId="12" xfId="0" applyFont="1" applyBorder="1" applyAlignment="1">
      <alignment wrapText="1"/>
    </xf>
    <xf numFmtId="167" fontId="14" fillId="0" borderId="12" xfId="1" applyNumberFormat="1" applyFont="1" applyBorder="1" applyAlignment="1">
      <alignment wrapText="1"/>
    </xf>
    <xf numFmtId="0" fontId="14" fillId="0" borderId="5" xfId="0" applyFont="1" applyBorder="1" applyAlignment="1">
      <alignment vertical="center" wrapText="1"/>
    </xf>
    <xf numFmtId="167" fontId="14" fillId="0" borderId="5" xfId="1" applyNumberFormat="1" applyFont="1" applyBorder="1" applyAlignment="1">
      <alignment wrapText="1"/>
    </xf>
    <xf numFmtId="0" fontId="14" fillId="0" borderId="5" xfId="0" applyFont="1" applyBorder="1" applyAlignment="1">
      <alignment wrapText="1"/>
    </xf>
    <xf numFmtId="0" fontId="19" fillId="0" borderId="0" xfId="0" applyFont="1" applyAlignment="1">
      <alignment wrapText="1"/>
    </xf>
    <xf numFmtId="167" fontId="14" fillId="0" borderId="0" xfId="1" applyNumberFormat="1" applyFont="1" applyAlignment="1">
      <alignment wrapText="1"/>
    </xf>
    <xf numFmtId="167" fontId="14" fillId="4" borderId="6" xfId="0" applyNumberFormat="1" applyFont="1" applyFill="1" applyBorder="1" applyAlignment="1">
      <alignment wrapText="1"/>
    </xf>
    <xf numFmtId="164" fontId="14" fillId="0" borderId="0" xfId="0" applyNumberFormat="1" applyFont="1"/>
    <xf numFmtId="164" fontId="14" fillId="0" borderId="6" xfId="0" applyNumberFormat="1" applyFont="1" applyBorder="1"/>
    <xf numFmtId="164" fontId="13" fillId="0" borderId="6" xfId="0" applyNumberFormat="1" applyFont="1" applyBorder="1"/>
    <xf numFmtId="10" fontId="14" fillId="0" borderId="12" xfId="0" applyNumberFormat="1" applyFont="1" applyBorder="1" applyAlignment="1">
      <alignment wrapText="1"/>
    </xf>
    <xf numFmtId="0" fontId="10" fillId="0" borderId="0" xfId="0" applyFont="1"/>
    <xf numFmtId="0" fontId="15" fillId="0" borderId="0" xfId="0" applyFont="1"/>
    <xf numFmtId="0" fontId="21" fillId="0" borderId="0" xfId="0" applyFont="1"/>
    <xf numFmtId="0" fontId="10" fillId="0" borderId="12" xfId="0" applyFont="1" applyBorder="1" applyAlignment="1">
      <alignment horizontal="left" wrapText="1"/>
    </xf>
    <xf numFmtId="0" fontId="10" fillId="0" borderId="12" xfId="0" applyFont="1" applyBorder="1" applyAlignment="1">
      <alignment horizontal="right" wrapText="1"/>
    </xf>
    <xf numFmtId="0" fontId="15" fillId="0" borderId="12" xfId="0" applyFont="1" applyBorder="1"/>
    <xf numFmtId="3" fontId="15" fillId="0" borderId="12" xfId="0" applyNumberFormat="1" applyFont="1" applyBorder="1"/>
    <xf numFmtId="0" fontId="10" fillId="0" borderId="12" xfId="0" applyFont="1" applyBorder="1"/>
    <xf numFmtId="3" fontId="10" fillId="0" borderId="12" xfId="0" applyNumberFormat="1" applyFont="1" applyBorder="1"/>
    <xf numFmtId="0" fontId="6" fillId="0" borderId="0" xfId="0" applyFont="1"/>
    <xf numFmtId="0" fontId="6" fillId="0" borderId="0" xfId="0" applyFont="1" applyAlignment="1">
      <alignment horizontal="right"/>
    </xf>
    <xf numFmtId="3" fontId="6" fillId="0" borderId="0" xfId="0" applyNumberFormat="1" applyFont="1"/>
    <xf numFmtId="166" fontId="6" fillId="0" borderId="0" xfId="2" applyNumberFormat="1" applyFont="1"/>
    <xf numFmtId="165" fontId="6" fillId="0" borderId="0" xfId="0" applyNumberFormat="1" applyFont="1"/>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xf>
    <xf numFmtId="0" fontId="7" fillId="0" borderId="1" xfId="0" applyFont="1" applyBorder="1" applyAlignment="1">
      <alignment horizontal="left" vertical="center" wrapText="1"/>
    </xf>
    <xf numFmtId="0" fontId="7" fillId="0" borderId="5" xfId="0" applyFont="1" applyBorder="1" applyAlignment="1">
      <alignment horizontal="left" vertical="center" wrapText="1"/>
    </xf>
    <xf numFmtId="0" fontId="6" fillId="0" borderId="1" xfId="0" applyFont="1" applyBorder="1" applyAlignment="1">
      <alignment horizontal="left" vertical="center" wrapText="1"/>
    </xf>
    <xf numFmtId="0" fontId="6" fillId="0" borderId="7" xfId="0" applyFont="1" applyBorder="1" applyAlignment="1">
      <alignment horizontal="left" vertical="center" wrapText="1"/>
    </xf>
    <xf numFmtId="0" fontId="15" fillId="9" borderId="8" xfId="0" applyFont="1" applyFill="1" applyBorder="1" applyAlignment="1">
      <alignment vertical="center" wrapText="1"/>
    </xf>
    <xf numFmtId="0" fontId="15" fillId="9" borderId="11" xfId="0" applyFont="1" applyFill="1" applyBorder="1" applyAlignment="1">
      <alignment vertical="center" wrapText="1"/>
    </xf>
    <xf numFmtId="167" fontId="15" fillId="9" borderId="8" xfId="1" applyNumberFormat="1" applyFont="1" applyFill="1" applyBorder="1" applyAlignment="1">
      <alignment vertical="center" wrapText="1"/>
    </xf>
    <xf numFmtId="167" fontId="15" fillId="9" borderId="11" xfId="1" applyNumberFormat="1" applyFont="1" applyFill="1" applyBorder="1" applyAlignment="1">
      <alignment vertical="center" wrapText="1"/>
    </xf>
    <xf numFmtId="0" fontId="14" fillId="0" borderId="1" xfId="0" applyFont="1" applyBorder="1" applyAlignment="1">
      <alignment horizontal="left" vertical="center" wrapText="1"/>
    </xf>
    <xf numFmtId="0" fontId="14" fillId="0" borderId="5" xfId="0" applyFont="1" applyBorder="1" applyAlignment="1">
      <alignment horizontal="left" vertical="center" wrapText="1"/>
    </xf>
    <xf numFmtId="0" fontId="20" fillId="0" borderId="13" xfId="3" applyFont="1" applyBorder="1" applyAlignment="1">
      <alignment horizontal="left"/>
    </xf>
    <xf numFmtId="0" fontId="20" fillId="0" borderId="14" xfId="3" applyFont="1" applyBorder="1" applyAlignment="1">
      <alignment horizontal="left"/>
    </xf>
    <xf numFmtId="0" fontId="20" fillId="0" borderId="15" xfId="3" applyFont="1" applyBorder="1" applyAlignment="1">
      <alignment horizontal="left"/>
    </xf>
    <xf numFmtId="0" fontId="10" fillId="0" borderId="13" xfId="0" applyFont="1" applyBorder="1" applyAlignment="1">
      <alignment horizontal="center"/>
    </xf>
    <xf numFmtId="0" fontId="10" fillId="0" borderId="14" xfId="0" applyFont="1" applyBorder="1" applyAlignment="1">
      <alignment horizontal="center"/>
    </xf>
    <xf numFmtId="0" fontId="10" fillId="0" borderId="15" xfId="0" applyFont="1" applyBorder="1" applyAlignment="1">
      <alignment horizontal="center"/>
    </xf>
    <xf numFmtId="0" fontId="13" fillId="0" borderId="12" xfId="0" applyFont="1" applyBorder="1" applyAlignment="1">
      <alignment horizontal="center" wrapText="1"/>
    </xf>
    <xf numFmtId="0" fontId="13" fillId="0" borderId="6" xfId="0" applyFont="1" applyBorder="1" applyAlignment="1">
      <alignment horizontal="center" vertical="center" wrapText="1"/>
    </xf>
    <xf numFmtId="0" fontId="13" fillId="0" borderId="6" xfId="0" applyFont="1" applyBorder="1" applyAlignment="1">
      <alignment horizontal="center" wrapText="1"/>
    </xf>
    <xf numFmtId="0" fontId="16" fillId="9" borderId="8" xfId="0" applyFont="1" applyFill="1" applyBorder="1" applyAlignment="1">
      <alignment vertical="center" wrapText="1"/>
    </xf>
    <xf numFmtId="0" fontId="16" fillId="9" borderId="11" xfId="0" applyFont="1" applyFill="1" applyBorder="1" applyAlignment="1">
      <alignment vertical="center" wrapText="1"/>
    </xf>
    <xf numFmtId="0" fontId="15" fillId="4" borderId="6" xfId="0" applyFont="1" applyFill="1" applyBorder="1" applyAlignment="1">
      <alignment horizontal="center" vertical="center" wrapText="1"/>
    </xf>
    <xf numFmtId="0" fontId="12" fillId="7" borderId="6" xfId="0" applyFont="1" applyFill="1" applyBorder="1" applyAlignment="1">
      <alignment vertical="center" wrapText="1"/>
    </xf>
    <xf numFmtId="167" fontId="14" fillId="0" borderId="6" xfId="1" applyNumberFormat="1" applyFont="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vertical="center" wrapText="1"/>
    </xf>
    <xf numFmtId="0" fontId="0" fillId="0" borderId="12" xfId="0" applyBorder="1" applyAlignment="1">
      <alignment horizontal="center" vertical="top" wrapText="1"/>
    </xf>
    <xf numFmtId="167" fontId="11" fillId="8" borderId="0" xfId="1" applyNumberFormat="1" applyFont="1" applyFill="1" applyAlignment="1">
      <alignment horizontal="center" wrapText="1"/>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hyperlink" Target="https://data.humdata.org/dataset/cod-ps-s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F5B06-343D-774B-B1A1-443FA0036F0D}">
  <dimension ref="A1:L15"/>
  <sheetViews>
    <sheetView tabSelected="1" topLeftCell="A7" zoomScale="80" zoomScaleNormal="80" workbookViewId="0">
      <selection activeCell="C6" sqref="C6"/>
    </sheetView>
  </sheetViews>
  <sheetFormatPr defaultColWidth="11" defaultRowHeight="13.2" x14ac:dyDescent="0.25"/>
  <cols>
    <col min="1" max="1" width="19.5" style="94" customWidth="1"/>
    <col min="2" max="2" width="21.8984375" style="94" customWidth="1"/>
    <col min="3" max="3" width="37" style="94" customWidth="1"/>
    <col min="4" max="4" width="11.19921875" style="94" bestFit="1" customWidth="1"/>
    <col min="5" max="11" width="11.09765625" style="94" bestFit="1" customWidth="1"/>
    <col min="12" max="12" width="27.8984375" style="94" customWidth="1"/>
    <col min="13" max="16384" width="11" style="94"/>
  </cols>
  <sheetData>
    <row r="1" spans="1:12" x14ac:dyDescent="0.25">
      <c r="A1" s="103" t="s">
        <v>0</v>
      </c>
      <c r="B1" s="103" t="s">
        <v>1</v>
      </c>
      <c r="C1" s="103" t="s">
        <v>2</v>
      </c>
      <c r="D1" s="99" t="s">
        <v>3</v>
      </c>
      <c r="E1" s="100"/>
      <c r="F1" s="99" t="s">
        <v>4</v>
      </c>
      <c r="G1" s="100"/>
      <c r="H1" s="99" t="s">
        <v>3</v>
      </c>
      <c r="I1" s="100"/>
      <c r="J1" s="99" t="s">
        <v>4</v>
      </c>
      <c r="K1" s="105"/>
      <c r="L1" s="103" t="s">
        <v>5</v>
      </c>
    </row>
    <row r="2" spans="1:12" x14ac:dyDescent="0.25">
      <c r="A2" s="104"/>
      <c r="B2" s="104"/>
      <c r="C2" s="104"/>
      <c r="D2" s="1" t="s">
        <v>6</v>
      </c>
      <c r="E2" s="1" t="s">
        <v>7</v>
      </c>
      <c r="F2" s="1" t="s">
        <v>6</v>
      </c>
      <c r="G2" s="1" t="s">
        <v>7</v>
      </c>
      <c r="H2" s="1" t="s">
        <v>8</v>
      </c>
      <c r="I2" s="1" t="s">
        <v>9</v>
      </c>
      <c r="J2" s="1" t="s">
        <v>8</v>
      </c>
      <c r="K2" s="1" t="s">
        <v>9</v>
      </c>
      <c r="L2" s="104"/>
    </row>
    <row r="3" spans="1:12" x14ac:dyDescent="0.25">
      <c r="A3" s="2" t="s">
        <v>10</v>
      </c>
      <c r="B3" s="3"/>
      <c r="C3" s="4"/>
      <c r="D3" s="5"/>
      <c r="E3" s="5"/>
      <c r="F3" s="5"/>
      <c r="G3" s="5"/>
      <c r="H3" s="5"/>
      <c r="I3" s="5"/>
      <c r="J3" s="5"/>
      <c r="K3" s="5"/>
      <c r="L3" s="5"/>
    </row>
    <row r="4" spans="1:12" ht="92.4" x14ac:dyDescent="0.25">
      <c r="A4" s="6" t="s">
        <v>11</v>
      </c>
      <c r="B4" s="6" t="s">
        <v>12</v>
      </c>
      <c r="C4" s="7" t="s">
        <v>13</v>
      </c>
      <c r="D4" s="8" t="s">
        <v>14</v>
      </c>
      <c r="E4" s="9" t="s">
        <v>14</v>
      </c>
      <c r="F4" s="9" t="s">
        <v>14</v>
      </c>
      <c r="G4" s="8">
        <f>Data!D125</f>
        <v>2124831</v>
      </c>
      <c r="H4" s="10" t="s">
        <v>14</v>
      </c>
      <c r="I4" s="10" t="s">
        <v>14</v>
      </c>
      <c r="J4" s="10">
        <f>G4*0.5</f>
        <v>1062415.5</v>
      </c>
      <c r="K4" s="10">
        <f>G4*0.5</f>
        <v>1062415.5</v>
      </c>
      <c r="L4" s="106" t="s">
        <v>15</v>
      </c>
    </row>
    <row r="5" spans="1:12" ht="158.4" x14ac:dyDescent="0.25">
      <c r="A5" s="6" t="s">
        <v>16</v>
      </c>
      <c r="B5" s="6" t="s">
        <v>17</v>
      </c>
      <c r="C5" s="7" t="s">
        <v>18</v>
      </c>
      <c r="D5" s="8">
        <f>E5/6.2</f>
        <v>6741.9354838709678</v>
      </c>
      <c r="E5" s="9">
        <f>Data!D11</f>
        <v>41800</v>
      </c>
      <c r="F5" s="9">
        <f>G5/6.2</f>
        <v>335972.74193548388</v>
      </c>
      <c r="G5" s="8">
        <f>Data!D125-E5</f>
        <v>2083031</v>
      </c>
      <c r="H5" s="10">
        <f>$E5*0.5</f>
        <v>20900</v>
      </c>
      <c r="I5" s="10">
        <f>$E5*0.5</f>
        <v>20900</v>
      </c>
      <c r="J5" s="10">
        <f>G5*0.5</f>
        <v>1041515.5</v>
      </c>
      <c r="K5" s="10">
        <f>G5*0.5</f>
        <v>1041515.5</v>
      </c>
      <c r="L5" s="107"/>
    </row>
    <row r="6" spans="1:12" x14ac:dyDescent="0.25">
      <c r="A6" s="2" t="s">
        <v>19</v>
      </c>
      <c r="B6" s="3"/>
      <c r="C6" s="4"/>
      <c r="D6" s="11"/>
      <c r="E6" s="11">
        <f>E7</f>
        <v>899300</v>
      </c>
      <c r="F6" s="11"/>
      <c r="G6" s="11"/>
      <c r="H6" s="11"/>
      <c r="I6" s="11"/>
      <c r="J6" s="11"/>
      <c r="K6" s="11"/>
      <c r="L6" s="5"/>
    </row>
    <row r="7" spans="1:12" ht="79.2" x14ac:dyDescent="0.25">
      <c r="A7" s="6" t="s">
        <v>20</v>
      </c>
      <c r="B7" s="6" t="s">
        <v>21</v>
      </c>
      <c r="C7" s="6" t="s">
        <v>22</v>
      </c>
      <c r="D7" s="8">
        <f>E7/6.2</f>
        <v>145048.38709677418</v>
      </c>
      <c r="E7" s="9">
        <f>Data!D17</f>
        <v>899300</v>
      </c>
      <c r="F7" s="9">
        <f>G7/6.2</f>
        <v>197666.29032258064</v>
      </c>
      <c r="G7" s="8">
        <f>Data!D125-E7</f>
        <v>1225531</v>
      </c>
      <c r="H7" s="10">
        <f t="shared" ref="H7:I9" si="0">$E7*0.5</f>
        <v>449650</v>
      </c>
      <c r="I7" s="10">
        <f t="shared" si="0"/>
        <v>449650</v>
      </c>
      <c r="J7" s="10">
        <f t="shared" ref="J7:K9" si="1">$G7*0.5</f>
        <v>612765.5</v>
      </c>
      <c r="K7" s="10">
        <f t="shared" si="1"/>
        <v>612765.5</v>
      </c>
      <c r="L7" s="108" t="s">
        <v>23</v>
      </c>
    </row>
    <row r="8" spans="1:12" ht="79.2" x14ac:dyDescent="0.25">
      <c r="A8" s="6" t="s">
        <v>24</v>
      </c>
      <c r="B8" s="6" t="s">
        <v>25</v>
      </c>
      <c r="C8" s="6" t="s">
        <v>26</v>
      </c>
      <c r="D8" s="8">
        <f>E8/6.2</f>
        <v>13860</v>
      </c>
      <c r="E8" s="9">
        <f>Data!D29</f>
        <v>85932</v>
      </c>
      <c r="F8" s="9">
        <f>G8/6.2</f>
        <v>69300</v>
      </c>
      <c r="G8" s="10">
        <f>(E8*5)</f>
        <v>429660</v>
      </c>
      <c r="H8" s="10">
        <f t="shared" si="0"/>
        <v>42966</v>
      </c>
      <c r="I8" s="10">
        <f t="shared" si="0"/>
        <v>42966</v>
      </c>
      <c r="J8" s="10">
        <f t="shared" si="1"/>
        <v>214830</v>
      </c>
      <c r="K8" s="10">
        <f t="shared" si="1"/>
        <v>214830</v>
      </c>
      <c r="L8" s="109"/>
    </row>
    <row r="9" spans="1:12" ht="132" x14ac:dyDescent="0.25">
      <c r="A9" s="12" t="s">
        <v>27</v>
      </c>
      <c r="B9" s="6" t="s">
        <v>28</v>
      </c>
      <c r="C9" s="6" t="s">
        <v>29</v>
      </c>
      <c r="D9" s="8">
        <f>E9/6.2</f>
        <v>4500</v>
      </c>
      <c r="E9" s="9">
        <f>Data!D39</f>
        <v>27900</v>
      </c>
      <c r="F9" s="9">
        <f>G9/6.2</f>
        <v>22500</v>
      </c>
      <c r="G9" s="10">
        <f>(E9*5)</f>
        <v>139500</v>
      </c>
      <c r="H9" s="10">
        <f t="shared" si="0"/>
        <v>13950</v>
      </c>
      <c r="I9" s="10">
        <f t="shared" si="0"/>
        <v>13950</v>
      </c>
      <c r="J9" s="10">
        <f t="shared" si="1"/>
        <v>69750</v>
      </c>
      <c r="K9" s="10">
        <f t="shared" si="1"/>
        <v>69750</v>
      </c>
      <c r="L9" s="109"/>
    </row>
    <row r="10" spans="1:12" x14ac:dyDescent="0.25">
      <c r="A10" s="13" t="s">
        <v>30</v>
      </c>
      <c r="B10" s="3"/>
      <c r="C10" s="3"/>
      <c r="D10" s="11"/>
      <c r="E10" s="11"/>
      <c r="F10" s="11"/>
      <c r="G10" s="11"/>
      <c r="H10" s="11"/>
      <c r="I10" s="11"/>
      <c r="J10" s="11"/>
      <c r="K10" s="11"/>
      <c r="L10" s="5"/>
    </row>
    <row r="11" spans="1:12" ht="52.8" x14ac:dyDescent="0.25">
      <c r="A11" s="6" t="s">
        <v>317</v>
      </c>
      <c r="B11" s="6" t="s">
        <v>14</v>
      </c>
      <c r="C11" s="6" t="s">
        <v>14</v>
      </c>
      <c r="D11" s="10" t="s">
        <v>14</v>
      </c>
      <c r="E11" s="9" t="s">
        <v>14</v>
      </c>
      <c r="F11" s="9" t="s">
        <v>14</v>
      </c>
      <c r="G11" s="10" t="s">
        <v>14</v>
      </c>
      <c r="H11" s="10" t="s">
        <v>14</v>
      </c>
      <c r="I11" s="10" t="s">
        <v>14</v>
      </c>
      <c r="J11" s="10" t="s">
        <v>14</v>
      </c>
      <c r="K11" s="10" t="s">
        <v>14</v>
      </c>
      <c r="L11" s="14"/>
    </row>
    <row r="12" spans="1:12" ht="66" x14ac:dyDescent="0.25">
      <c r="A12" s="6" t="s">
        <v>31</v>
      </c>
      <c r="B12" s="6" t="s">
        <v>32</v>
      </c>
      <c r="C12" s="6" t="s">
        <v>33</v>
      </c>
      <c r="D12" s="8">
        <f>E12/6.2</f>
        <v>153193.46080645162</v>
      </c>
      <c r="E12" s="9">
        <f>Data!D87</f>
        <v>949799.45700000005</v>
      </c>
      <c r="F12" s="9">
        <f>G12/6.2</f>
        <v>189521.21661290323</v>
      </c>
      <c r="G12" s="15">
        <v>1175031.5430000001</v>
      </c>
      <c r="H12" s="10">
        <f>$E12*0.5</f>
        <v>474899.72850000003</v>
      </c>
      <c r="I12" s="10">
        <f>$E12*0.5</f>
        <v>474899.72850000003</v>
      </c>
      <c r="J12" s="10">
        <f>$G12*0.5</f>
        <v>587515.77150000003</v>
      </c>
      <c r="K12" s="10">
        <f>$G12*0.5</f>
        <v>587515.77150000003</v>
      </c>
      <c r="L12" s="14"/>
    </row>
    <row r="13" spans="1:12" x14ac:dyDescent="0.25">
      <c r="A13" s="16" t="s">
        <v>34</v>
      </c>
      <c r="B13" s="101" t="s">
        <v>35</v>
      </c>
      <c r="C13" s="102"/>
      <c r="D13" s="17">
        <f>E13/6.2</f>
        <v>185829.38016129035</v>
      </c>
      <c r="E13" s="18">
        <v>1152142.1570000001</v>
      </c>
      <c r="F13" s="18">
        <f>G13/6.2</f>
        <v>156885.29725806453</v>
      </c>
      <c r="G13" s="18">
        <v>972688.84300000011</v>
      </c>
      <c r="H13" s="18">
        <f>$E13*0.5</f>
        <v>576071.07850000006</v>
      </c>
      <c r="I13" s="18">
        <f>$E13*0.5</f>
        <v>576071.07850000006</v>
      </c>
      <c r="J13" s="18">
        <f>$G13*0.5</f>
        <v>486344.42150000005</v>
      </c>
      <c r="K13" s="18">
        <f>$G13*0.5</f>
        <v>486344.42150000005</v>
      </c>
      <c r="L13" s="18"/>
    </row>
    <row r="14" spans="1:12" x14ac:dyDescent="0.25">
      <c r="C14" s="95" t="s">
        <v>36</v>
      </c>
      <c r="D14" s="96">
        <v>18592644</v>
      </c>
      <c r="E14" s="97">
        <f>E13/D14</f>
        <v>6.1967633920167575E-2</v>
      </c>
      <c r="G14" s="97">
        <f>G13/D14</f>
        <v>5.2315789136822076E-2</v>
      </c>
    </row>
    <row r="15" spans="1:12" x14ac:dyDescent="0.25">
      <c r="C15" s="95" t="s">
        <v>37</v>
      </c>
      <c r="D15" s="98">
        <f>E13+G13</f>
        <v>2124831</v>
      </c>
    </row>
  </sheetData>
  <mergeCells count="11">
    <mergeCell ref="H1:I1"/>
    <mergeCell ref="J1:K1"/>
    <mergeCell ref="L1:L2"/>
    <mergeCell ref="L4:L5"/>
    <mergeCell ref="L7:L9"/>
    <mergeCell ref="D1:E1"/>
    <mergeCell ref="F1:G1"/>
    <mergeCell ref="B13:C13"/>
    <mergeCell ref="A1:A2"/>
    <mergeCell ref="B1:B2"/>
    <mergeCell ref="C1:C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911EB1-AD73-2843-8337-C97CE49624C0}">
  <dimension ref="A1:X128"/>
  <sheetViews>
    <sheetView topLeftCell="A7" zoomScale="80" zoomScaleNormal="80" workbookViewId="0">
      <selection activeCell="C69" sqref="C69"/>
    </sheetView>
  </sheetViews>
  <sheetFormatPr defaultColWidth="7.5" defaultRowHeight="11.4" x14ac:dyDescent="0.2"/>
  <cols>
    <col min="1" max="1" width="4.3984375" style="45" customWidth="1"/>
    <col min="2" max="3" width="40.5" style="45" customWidth="1"/>
    <col min="4" max="4" width="12" style="79" customWidth="1"/>
    <col min="5" max="5" width="32.09765625" style="45" customWidth="1"/>
    <col min="6" max="6" width="9.59765625" style="45" customWidth="1"/>
    <col min="7" max="7" width="30.3984375" style="45" customWidth="1"/>
    <col min="8" max="8" width="35" style="60" customWidth="1"/>
    <col min="9" max="9" width="26" style="47" customWidth="1"/>
    <col min="10" max="10" width="15.59765625" style="47" customWidth="1"/>
    <col min="11" max="11" width="15.09765625" style="47" customWidth="1"/>
    <col min="12" max="12" width="15" style="47" customWidth="1"/>
    <col min="13" max="13" width="28.5" style="47" customWidth="1"/>
    <col min="14" max="16384" width="7.5" style="47"/>
  </cols>
  <sheetData>
    <row r="1" spans="1:13" ht="24" x14ac:dyDescent="0.25">
      <c r="A1" s="23"/>
      <c r="B1" s="23" t="s">
        <v>38</v>
      </c>
      <c r="C1" s="23" t="s">
        <v>39</v>
      </c>
      <c r="D1" s="24" t="s">
        <v>40</v>
      </c>
      <c r="E1" s="44" t="s">
        <v>41</v>
      </c>
      <c r="G1" s="110" t="s">
        <v>42</v>
      </c>
      <c r="H1" s="125" t="s">
        <v>43</v>
      </c>
      <c r="I1" s="110" t="s">
        <v>44</v>
      </c>
      <c r="J1" s="110">
        <v>0</v>
      </c>
      <c r="K1" s="112">
        <f>L1/2</f>
        <v>774748</v>
      </c>
      <c r="L1" s="46">
        <v>1549496</v>
      </c>
      <c r="M1" s="110" t="s">
        <v>45</v>
      </c>
    </row>
    <row r="2" spans="1:13" ht="23.4" thickBot="1" x14ac:dyDescent="0.25">
      <c r="A2" s="128" t="s">
        <v>46</v>
      </c>
      <c r="B2" s="128"/>
      <c r="C2" s="128"/>
      <c r="D2" s="48">
        <f>D3+D6</f>
        <v>930</v>
      </c>
      <c r="E2" s="49" t="s">
        <v>47</v>
      </c>
      <c r="G2" s="111"/>
      <c r="H2" s="126"/>
      <c r="I2" s="111"/>
      <c r="J2" s="111"/>
      <c r="K2" s="113"/>
      <c r="L2" s="51"/>
      <c r="M2" s="111"/>
    </row>
    <row r="3" spans="1:13" ht="23.4" thickBot="1" x14ac:dyDescent="0.25">
      <c r="A3" s="127" t="s">
        <v>48</v>
      </c>
      <c r="B3" s="127"/>
      <c r="C3" s="127"/>
      <c r="D3" s="52">
        <f>D4+D5</f>
        <v>0</v>
      </c>
      <c r="E3" s="53"/>
      <c r="G3" s="50" t="s">
        <v>49</v>
      </c>
      <c r="H3" s="54" t="s">
        <v>50</v>
      </c>
      <c r="I3" s="55" t="s">
        <v>51</v>
      </c>
      <c r="J3" s="55">
        <v>0</v>
      </c>
      <c r="K3" s="51">
        <f>L3/2</f>
        <v>42966</v>
      </c>
      <c r="L3" s="51">
        <f>D30</f>
        <v>85932</v>
      </c>
      <c r="M3" s="55" t="s">
        <v>52</v>
      </c>
    </row>
    <row r="4" spans="1:13" ht="22.8" x14ac:dyDescent="0.2">
      <c r="A4" s="56"/>
      <c r="B4" s="57" t="s">
        <v>53</v>
      </c>
      <c r="C4" s="57" t="s">
        <v>54</v>
      </c>
      <c r="D4" s="58"/>
      <c r="E4" s="59"/>
    </row>
    <row r="5" spans="1:13" x14ac:dyDescent="0.2">
      <c r="A5" s="59"/>
      <c r="B5" s="57" t="s">
        <v>55</v>
      </c>
      <c r="C5" s="57" t="s">
        <v>56</v>
      </c>
      <c r="D5" s="58"/>
      <c r="E5" s="59"/>
    </row>
    <row r="6" spans="1:13" x14ac:dyDescent="0.2">
      <c r="A6" s="127" t="s">
        <v>57</v>
      </c>
      <c r="B6" s="127"/>
      <c r="C6" s="127"/>
      <c r="D6" s="52">
        <f>D7+D7+D8+D9+D10</f>
        <v>930</v>
      </c>
      <c r="E6" s="53"/>
    </row>
    <row r="7" spans="1:13" ht="22.8" x14ac:dyDescent="0.2">
      <c r="A7" s="56"/>
      <c r="B7" s="57" t="s">
        <v>58</v>
      </c>
      <c r="C7" s="57" t="s">
        <v>59</v>
      </c>
      <c r="D7" s="58"/>
      <c r="E7" s="59"/>
    </row>
    <row r="8" spans="1:13" ht="22.8" x14ac:dyDescent="0.2">
      <c r="A8" s="56"/>
      <c r="B8" s="57" t="s">
        <v>60</v>
      </c>
      <c r="C8" s="57" t="s">
        <v>61</v>
      </c>
      <c r="D8" s="58"/>
      <c r="E8" s="59"/>
    </row>
    <row r="9" spans="1:13" ht="22.8" x14ac:dyDescent="0.2">
      <c r="A9" s="56"/>
      <c r="B9" s="57" t="s">
        <v>62</v>
      </c>
      <c r="C9" s="57" t="s">
        <v>63</v>
      </c>
      <c r="D9" s="58">
        <f>30*31</f>
        <v>930</v>
      </c>
      <c r="E9" s="59" t="s">
        <v>64</v>
      </c>
    </row>
    <row r="10" spans="1:13" ht="22.8" x14ac:dyDescent="0.2">
      <c r="A10" s="59"/>
      <c r="B10" s="57" t="s">
        <v>65</v>
      </c>
      <c r="C10" s="57" t="s">
        <v>66</v>
      </c>
      <c r="D10" s="58"/>
      <c r="E10" s="59"/>
    </row>
    <row r="11" spans="1:13" ht="12" x14ac:dyDescent="0.2">
      <c r="A11" s="128" t="s">
        <v>67</v>
      </c>
      <c r="B11" s="128"/>
      <c r="C11" s="128"/>
      <c r="D11" s="48">
        <f>D12</f>
        <v>41800</v>
      </c>
      <c r="E11" s="49"/>
    </row>
    <row r="12" spans="1:13" x14ac:dyDescent="0.2">
      <c r="A12" s="127" t="s">
        <v>68</v>
      </c>
      <c r="B12" s="127"/>
      <c r="C12" s="127"/>
      <c r="D12" s="52">
        <f>D13+D14+D15+D16</f>
        <v>41800</v>
      </c>
      <c r="E12" s="53" t="s">
        <v>69</v>
      </c>
    </row>
    <row r="13" spans="1:13" ht="22.8" x14ac:dyDescent="0.2">
      <c r="A13" s="56"/>
      <c r="B13" s="57" t="s">
        <v>70</v>
      </c>
      <c r="C13" s="57" t="s">
        <v>71</v>
      </c>
      <c r="D13" s="58">
        <f>G21</f>
        <v>32800</v>
      </c>
      <c r="E13" s="59" t="s">
        <v>72</v>
      </c>
      <c r="G13" s="123" t="s">
        <v>73</v>
      </c>
      <c r="H13" s="123"/>
    </row>
    <row r="14" spans="1:13" x14ac:dyDescent="0.2">
      <c r="A14" s="56"/>
      <c r="B14" s="57" t="s">
        <v>74</v>
      </c>
      <c r="C14" s="57" t="s">
        <v>75</v>
      </c>
      <c r="D14" s="58">
        <v>9000</v>
      </c>
      <c r="E14" s="59" t="s">
        <v>76</v>
      </c>
      <c r="G14" s="61">
        <v>2900</v>
      </c>
      <c r="H14" s="62" t="s">
        <v>77</v>
      </c>
    </row>
    <row r="15" spans="1:13" ht="22.8" x14ac:dyDescent="0.2">
      <c r="A15" s="56"/>
      <c r="B15" s="57" t="s">
        <v>78</v>
      </c>
      <c r="C15" s="57" t="s">
        <v>79</v>
      </c>
      <c r="D15" s="58"/>
      <c r="E15" s="59" t="s">
        <v>80</v>
      </c>
      <c r="G15" s="63">
        <v>1200</v>
      </c>
      <c r="H15" s="64" t="s">
        <v>81</v>
      </c>
    </row>
    <row r="16" spans="1:13" ht="34.200000000000003" x14ac:dyDescent="0.2">
      <c r="A16" s="59"/>
      <c r="B16" s="57" t="s">
        <v>82</v>
      </c>
      <c r="C16" s="57"/>
      <c r="D16" s="58"/>
      <c r="E16" s="59"/>
      <c r="G16" s="65">
        <v>3000</v>
      </c>
      <c r="H16" s="61" t="s">
        <v>83</v>
      </c>
    </row>
    <row r="17" spans="1:8" ht="22.8" x14ac:dyDescent="0.2">
      <c r="A17" s="128" t="s">
        <v>84</v>
      </c>
      <c r="B17" s="128"/>
      <c r="C17" s="128"/>
      <c r="D17" s="48">
        <f>(G15+G17+G18+G19)+D25+D14</f>
        <v>899300</v>
      </c>
      <c r="E17" s="49" t="s">
        <v>85</v>
      </c>
      <c r="G17" s="63">
        <f>100*40</f>
        <v>4000</v>
      </c>
      <c r="H17" s="66" t="s">
        <v>86</v>
      </c>
    </row>
    <row r="18" spans="1:8" ht="22.8" x14ac:dyDescent="0.2">
      <c r="A18" s="127" t="s">
        <v>87</v>
      </c>
      <c r="B18" s="127"/>
      <c r="C18" s="127"/>
      <c r="D18" s="52">
        <f>D19</f>
        <v>1550</v>
      </c>
      <c r="E18" s="53" t="s">
        <v>88</v>
      </c>
      <c r="G18" s="65">
        <f>11000*2</f>
        <v>22000</v>
      </c>
      <c r="H18" s="61" t="s">
        <v>89</v>
      </c>
    </row>
    <row r="19" spans="1:8" ht="22.8" x14ac:dyDescent="0.2">
      <c r="A19" s="56"/>
      <c r="B19" s="57" t="s">
        <v>90</v>
      </c>
      <c r="C19" s="57" t="s">
        <v>91</v>
      </c>
      <c r="D19" s="129">
        <v>1550</v>
      </c>
      <c r="E19" s="130" t="s">
        <v>92</v>
      </c>
      <c r="G19" s="63">
        <f>70*30</f>
        <v>2100</v>
      </c>
      <c r="H19" s="66" t="s">
        <v>93</v>
      </c>
    </row>
    <row r="20" spans="1:8" ht="22.8" x14ac:dyDescent="0.2">
      <c r="A20" s="56"/>
      <c r="B20" s="57" t="s">
        <v>94</v>
      </c>
      <c r="C20" s="57" t="s">
        <v>95</v>
      </c>
      <c r="D20" s="129"/>
      <c r="E20" s="130"/>
      <c r="G20" s="59">
        <v>600</v>
      </c>
      <c r="H20" s="67" t="s">
        <v>96</v>
      </c>
    </row>
    <row r="21" spans="1:8" ht="22.8" x14ac:dyDescent="0.2">
      <c r="A21" s="56"/>
      <c r="B21" s="57" t="s">
        <v>97</v>
      </c>
      <c r="C21" s="57" t="s">
        <v>98</v>
      </c>
      <c r="D21" s="129"/>
      <c r="E21" s="130"/>
      <c r="G21" s="68">
        <f>G20+G19+G18+G17+G15+G14</f>
        <v>32800</v>
      </c>
      <c r="H21" s="67" t="s">
        <v>99</v>
      </c>
    </row>
    <row r="22" spans="1:8" ht="22.8" x14ac:dyDescent="0.2">
      <c r="A22" s="56"/>
      <c r="B22" s="57" t="s">
        <v>100</v>
      </c>
      <c r="C22" s="57" t="s">
        <v>101</v>
      </c>
      <c r="D22" s="129"/>
      <c r="E22" s="130"/>
    </row>
    <row r="23" spans="1:8" ht="22.8" x14ac:dyDescent="0.2">
      <c r="A23" s="56"/>
      <c r="B23" s="57" t="s">
        <v>102</v>
      </c>
      <c r="C23" s="57" t="s">
        <v>103</v>
      </c>
      <c r="D23" s="58"/>
      <c r="E23" s="59" t="s">
        <v>88</v>
      </c>
    </row>
    <row r="24" spans="1:8" ht="22.8" x14ac:dyDescent="0.2">
      <c r="A24" s="59"/>
      <c r="B24" s="57" t="s">
        <v>104</v>
      </c>
      <c r="C24" s="56" t="s">
        <v>105</v>
      </c>
      <c r="D24" s="58"/>
      <c r="E24" s="59"/>
    </row>
    <row r="25" spans="1:8" x14ac:dyDescent="0.2">
      <c r="A25" s="127" t="s">
        <v>106</v>
      </c>
      <c r="B25" s="127"/>
      <c r="C25" s="127"/>
      <c r="D25" s="52">
        <f>D26+D27</f>
        <v>861000</v>
      </c>
      <c r="E25" s="53" t="s">
        <v>107</v>
      </c>
    </row>
    <row r="26" spans="1:8" ht="45.6" x14ac:dyDescent="0.2">
      <c r="A26" s="131"/>
      <c r="B26" s="57" t="s">
        <v>108</v>
      </c>
      <c r="C26" s="57" t="s">
        <v>109</v>
      </c>
      <c r="D26" s="58">
        <v>365000</v>
      </c>
      <c r="E26" s="59" t="s">
        <v>110</v>
      </c>
    </row>
    <row r="27" spans="1:8" ht="22.8" x14ac:dyDescent="0.2">
      <c r="A27" s="131"/>
      <c r="B27" s="57" t="s">
        <v>111</v>
      </c>
      <c r="C27" s="57" t="s">
        <v>112</v>
      </c>
      <c r="D27" s="58">
        <f>(16*5000)*1*6.2</f>
        <v>496000</v>
      </c>
      <c r="E27" s="59" t="s">
        <v>113</v>
      </c>
    </row>
    <row r="28" spans="1:8" ht="45.6" x14ac:dyDescent="0.2">
      <c r="A28" s="131"/>
      <c r="B28" s="57" t="s">
        <v>114</v>
      </c>
      <c r="C28" s="57" t="s">
        <v>115</v>
      </c>
      <c r="D28" s="58">
        <f>31*50*6.2</f>
        <v>9610</v>
      </c>
      <c r="E28" s="59" t="s">
        <v>116</v>
      </c>
    </row>
    <row r="29" spans="1:8" ht="12" x14ac:dyDescent="0.2">
      <c r="A29" s="128" t="s">
        <v>117</v>
      </c>
      <c r="B29" s="128"/>
      <c r="C29" s="128"/>
      <c r="D29" s="48">
        <f>D30</f>
        <v>85932</v>
      </c>
      <c r="E29" s="49"/>
    </row>
    <row r="30" spans="1:8" x14ac:dyDescent="0.2">
      <c r="A30" s="127" t="s">
        <v>118</v>
      </c>
      <c r="B30" s="127"/>
      <c r="C30" s="127"/>
      <c r="D30" s="52">
        <f>D32+D33</f>
        <v>85932</v>
      </c>
      <c r="E30" s="53"/>
    </row>
    <row r="31" spans="1:8" ht="22.8" x14ac:dyDescent="0.2">
      <c r="A31" s="56"/>
      <c r="B31" s="57" t="s">
        <v>119</v>
      </c>
      <c r="C31" s="57" t="s">
        <v>120</v>
      </c>
      <c r="D31" s="58"/>
      <c r="E31" s="59"/>
    </row>
    <row r="32" spans="1:8" ht="22.8" x14ac:dyDescent="0.2">
      <c r="A32" s="56"/>
      <c r="B32" s="57" t="s">
        <v>121</v>
      </c>
      <c r="C32" s="57" t="s">
        <v>122</v>
      </c>
      <c r="D32" s="58">
        <f>3*420*6.2</f>
        <v>7812</v>
      </c>
      <c r="E32" s="59" t="s">
        <v>123</v>
      </c>
    </row>
    <row r="33" spans="1:5" ht="22.8" x14ac:dyDescent="0.2">
      <c r="A33" s="56"/>
      <c r="B33" s="57" t="s">
        <v>124</v>
      </c>
      <c r="C33" s="57" t="s">
        <v>125</v>
      </c>
      <c r="D33" s="58">
        <f>420*30*6.2</f>
        <v>78120</v>
      </c>
      <c r="E33" s="59" t="s">
        <v>126</v>
      </c>
    </row>
    <row r="34" spans="1:5" ht="22.8" x14ac:dyDescent="0.2">
      <c r="A34" s="59"/>
      <c r="B34" s="57" t="s">
        <v>127</v>
      </c>
      <c r="C34" s="57" t="s">
        <v>128</v>
      </c>
      <c r="D34" s="58"/>
      <c r="E34" s="59"/>
    </row>
    <row r="35" spans="1:5" ht="22.8" x14ac:dyDescent="0.2">
      <c r="A35" s="127" t="s">
        <v>129</v>
      </c>
      <c r="B35" s="127"/>
      <c r="C35" s="127"/>
      <c r="D35" s="52">
        <f>D37+D38</f>
        <v>0</v>
      </c>
      <c r="E35" s="53" t="s">
        <v>88</v>
      </c>
    </row>
    <row r="36" spans="1:5" ht="22.8" x14ac:dyDescent="0.2">
      <c r="A36" s="56"/>
      <c r="B36" s="57" t="s">
        <v>130</v>
      </c>
      <c r="C36" s="57" t="s">
        <v>131</v>
      </c>
      <c r="D36" s="58"/>
      <c r="E36" s="59"/>
    </row>
    <row r="37" spans="1:5" ht="45.6" x14ac:dyDescent="0.2">
      <c r="A37" s="56"/>
      <c r="B37" s="57" t="s">
        <v>132</v>
      </c>
      <c r="C37" s="57" t="s">
        <v>133</v>
      </c>
      <c r="D37" s="58"/>
      <c r="E37" s="59" t="s">
        <v>134</v>
      </c>
    </row>
    <row r="38" spans="1:5" ht="45.6" x14ac:dyDescent="0.2">
      <c r="A38" s="59"/>
      <c r="B38" s="57"/>
      <c r="C38" s="57" t="s">
        <v>135</v>
      </c>
      <c r="D38" s="58"/>
      <c r="E38" s="59" t="s">
        <v>136</v>
      </c>
    </row>
    <row r="39" spans="1:5" ht="22.8" x14ac:dyDescent="0.2">
      <c r="A39" s="128" t="s">
        <v>27</v>
      </c>
      <c r="B39" s="128"/>
      <c r="C39" s="128"/>
      <c r="D39" s="48">
        <f>D45+D46+D47+D53</f>
        <v>27900</v>
      </c>
      <c r="E39" s="49" t="s">
        <v>137</v>
      </c>
    </row>
    <row r="40" spans="1:5" x14ac:dyDescent="0.2">
      <c r="A40" s="127" t="s">
        <v>138</v>
      </c>
      <c r="B40" s="127"/>
      <c r="C40" s="127"/>
      <c r="D40" s="52">
        <f>SUM(D45:D47)</f>
        <v>14880</v>
      </c>
      <c r="E40" s="53"/>
    </row>
    <row r="41" spans="1:5" ht="22.8" x14ac:dyDescent="0.2">
      <c r="A41" s="56"/>
      <c r="B41" s="57" t="s">
        <v>139</v>
      </c>
      <c r="C41" s="69" t="s">
        <v>140</v>
      </c>
      <c r="D41" s="70"/>
      <c r="E41" s="71"/>
    </row>
    <row r="42" spans="1:5" ht="22.8" x14ac:dyDescent="0.2">
      <c r="A42" s="56"/>
      <c r="B42" s="72" t="s">
        <v>141</v>
      </c>
      <c r="C42" s="73"/>
      <c r="D42" s="74"/>
      <c r="E42" s="73"/>
    </row>
    <row r="43" spans="1:5" ht="22.8" x14ac:dyDescent="0.2">
      <c r="A43" s="56"/>
      <c r="B43" s="57" t="s">
        <v>142</v>
      </c>
      <c r="C43" s="75" t="s">
        <v>143</v>
      </c>
      <c r="D43" s="76"/>
      <c r="E43" s="77"/>
    </row>
    <row r="44" spans="1:5" ht="22.8" x14ac:dyDescent="0.2">
      <c r="A44" s="56"/>
      <c r="B44" s="57" t="s">
        <v>144</v>
      </c>
      <c r="C44" s="57" t="s">
        <v>145</v>
      </c>
      <c r="D44" s="58"/>
      <c r="E44" s="59"/>
    </row>
    <row r="45" spans="1:5" ht="22.8" x14ac:dyDescent="0.2">
      <c r="A45" s="56"/>
      <c r="B45" s="57" t="s">
        <v>146</v>
      </c>
      <c r="C45" s="57" t="s">
        <v>147</v>
      </c>
      <c r="D45" s="58">
        <f>20*30*6.2</f>
        <v>3720</v>
      </c>
      <c r="E45" s="59" t="s">
        <v>148</v>
      </c>
    </row>
    <row r="46" spans="1:5" ht="22.8" x14ac:dyDescent="0.2">
      <c r="A46" s="56"/>
      <c r="B46" s="57" t="s">
        <v>149</v>
      </c>
      <c r="C46" s="57" t="s">
        <v>150</v>
      </c>
      <c r="D46" s="58">
        <f>30*30*6.2</f>
        <v>5580</v>
      </c>
      <c r="E46" s="59" t="s">
        <v>151</v>
      </c>
    </row>
    <row r="47" spans="1:5" ht="22.8" x14ac:dyDescent="0.2">
      <c r="A47" s="56"/>
      <c r="B47" s="57" t="s">
        <v>152</v>
      </c>
      <c r="C47" s="57" t="s">
        <v>153</v>
      </c>
      <c r="D47" s="58">
        <f>30*30*6.2</f>
        <v>5580</v>
      </c>
      <c r="E47" s="59" t="s">
        <v>154</v>
      </c>
    </row>
    <row r="48" spans="1:5" ht="22.8" x14ac:dyDescent="0.2">
      <c r="A48" s="59"/>
      <c r="B48" s="57" t="s">
        <v>155</v>
      </c>
      <c r="C48" s="57" t="s">
        <v>156</v>
      </c>
      <c r="D48" s="58"/>
      <c r="E48" s="59"/>
    </row>
    <row r="49" spans="1:7" x14ac:dyDescent="0.2">
      <c r="A49" s="127" t="s">
        <v>157</v>
      </c>
      <c r="B49" s="127"/>
      <c r="C49" s="127"/>
      <c r="D49" s="52">
        <f>D50</f>
        <v>8200</v>
      </c>
      <c r="E49" s="53"/>
    </row>
    <row r="50" spans="1:7" ht="22.8" x14ac:dyDescent="0.2">
      <c r="A50" s="56"/>
      <c r="B50" s="57" t="s">
        <v>158</v>
      </c>
      <c r="C50" s="57" t="s">
        <v>159</v>
      </c>
      <c r="D50" s="58">
        <f>410*20</f>
        <v>8200</v>
      </c>
      <c r="E50" s="59" t="s">
        <v>160</v>
      </c>
    </row>
    <row r="51" spans="1:7" ht="22.8" x14ac:dyDescent="0.2">
      <c r="A51" s="56"/>
      <c r="B51" s="57" t="s">
        <v>161</v>
      </c>
      <c r="C51" s="57" t="s">
        <v>162</v>
      </c>
      <c r="D51" s="58"/>
      <c r="E51" s="59"/>
    </row>
    <row r="52" spans="1:7" ht="22.8" x14ac:dyDescent="0.2">
      <c r="A52" s="59"/>
      <c r="B52" s="57" t="s">
        <v>163</v>
      </c>
      <c r="C52" s="57" t="s">
        <v>164</v>
      </c>
      <c r="D52" s="58"/>
      <c r="E52" s="59"/>
    </row>
    <row r="53" spans="1:7" x14ac:dyDescent="0.2">
      <c r="A53" s="127" t="s">
        <v>165</v>
      </c>
      <c r="B53" s="127"/>
      <c r="C53" s="127"/>
      <c r="D53" s="52">
        <f>D54</f>
        <v>13020</v>
      </c>
      <c r="E53" s="53"/>
    </row>
    <row r="54" spans="1:7" ht="34.200000000000003" x14ac:dyDescent="0.2">
      <c r="A54" s="56"/>
      <c r="B54" s="57" t="s">
        <v>166</v>
      </c>
      <c r="C54" s="57" t="s">
        <v>167</v>
      </c>
      <c r="D54" s="58">
        <f>420*0.5*10*6.2</f>
        <v>13020</v>
      </c>
      <c r="E54" s="59" t="s">
        <v>168</v>
      </c>
      <c r="G54" s="78"/>
    </row>
    <row r="55" spans="1:7" ht="22.8" x14ac:dyDescent="0.2">
      <c r="A55" s="56"/>
      <c r="B55" s="57" t="s">
        <v>169</v>
      </c>
      <c r="C55" s="57" t="s">
        <v>170</v>
      </c>
      <c r="D55" s="58"/>
      <c r="E55" s="59"/>
    </row>
    <row r="56" spans="1:7" ht="34.200000000000003" x14ac:dyDescent="0.2">
      <c r="A56" s="56"/>
      <c r="B56" s="57" t="s">
        <v>171</v>
      </c>
      <c r="C56" s="57" t="s">
        <v>172</v>
      </c>
      <c r="D56" s="58"/>
      <c r="E56" s="59"/>
    </row>
    <row r="57" spans="1:7" ht="22.8" x14ac:dyDescent="0.2">
      <c r="A57" s="59"/>
      <c r="B57" s="57" t="s">
        <v>173</v>
      </c>
      <c r="C57" s="57" t="s">
        <v>174</v>
      </c>
      <c r="D57" s="58"/>
      <c r="E57" s="59"/>
    </row>
    <row r="58" spans="1:7" x14ac:dyDescent="0.2">
      <c r="A58" s="127" t="s">
        <v>175</v>
      </c>
      <c r="B58" s="127"/>
      <c r="C58" s="127"/>
      <c r="D58" s="52">
        <f>D59+D60</f>
        <v>113832</v>
      </c>
      <c r="E58" s="53"/>
    </row>
    <row r="59" spans="1:7" ht="22.8" x14ac:dyDescent="0.2">
      <c r="A59" s="56"/>
      <c r="B59" s="57" t="s">
        <v>176</v>
      </c>
      <c r="C59" s="57" t="s">
        <v>177</v>
      </c>
      <c r="D59" s="58">
        <f>D39+D29</f>
        <v>113832</v>
      </c>
      <c r="E59" s="59" t="s">
        <v>178</v>
      </c>
    </row>
    <row r="60" spans="1:7" ht="22.8" x14ac:dyDescent="0.2">
      <c r="A60" s="59"/>
      <c r="B60" s="57" t="s">
        <v>179</v>
      </c>
      <c r="C60" s="57" t="s">
        <v>180</v>
      </c>
      <c r="D60" s="58"/>
      <c r="E60" s="59"/>
    </row>
    <row r="61" spans="1:7" ht="12" x14ac:dyDescent="0.2">
      <c r="A61" s="128" t="s">
        <v>317</v>
      </c>
      <c r="B61" s="128"/>
      <c r="C61" s="128"/>
      <c r="D61" s="48"/>
      <c r="E61" s="49"/>
    </row>
    <row r="62" spans="1:7" ht="22.8" x14ac:dyDescent="0.2">
      <c r="A62" s="127" t="s">
        <v>181</v>
      </c>
      <c r="B62" s="127"/>
      <c r="C62" s="127"/>
      <c r="D62" s="52"/>
      <c r="E62" s="53" t="s">
        <v>88</v>
      </c>
    </row>
    <row r="63" spans="1:7" ht="22.8" x14ac:dyDescent="0.2">
      <c r="A63" s="131"/>
      <c r="B63" s="57" t="s">
        <v>318</v>
      </c>
      <c r="C63" s="57" t="s">
        <v>319</v>
      </c>
      <c r="D63" s="58"/>
      <c r="E63" s="59"/>
    </row>
    <row r="64" spans="1:7" ht="22.8" x14ac:dyDescent="0.2">
      <c r="A64" s="131"/>
      <c r="B64" s="57" t="s">
        <v>320</v>
      </c>
      <c r="C64" s="57" t="s">
        <v>182</v>
      </c>
      <c r="D64" s="58"/>
      <c r="E64" s="59"/>
    </row>
    <row r="65" spans="1:5" ht="22.8" x14ac:dyDescent="0.2">
      <c r="A65" s="131"/>
      <c r="B65" s="57" t="s">
        <v>183</v>
      </c>
      <c r="C65" s="57" t="s">
        <v>184</v>
      </c>
      <c r="D65" s="58"/>
      <c r="E65" s="59"/>
    </row>
    <row r="66" spans="1:5" ht="22.8" x14ac:dyDescent="0.2">
      <c r="A66" s="131"/>
      <c r="B66" s="57" t="s">
        <v>185</v>
      </c>
      <c r="C66" s="57" t="s">
        <v>186</v>
      </c>
      <c r="D66" s="58"/>
      <c r="E66" s="59"/>
    </row>
    <row r="67" spans="1:5" ht="22.8" x14ac:dyDescent="0.2">
      <c r="A67" s="131"/>
      <c r="B67" s="57" t="s">
        <v>187</v>
      </c>
      <c r="C67" s="57" t="s">
        <v>188</v>
      </c>
      <c r="D67" s="58"/>
      <c r="E67" s="59"/>
    </row>
    <row r="68" spans="1:5" x14ac:dyDescent="0.2">
      <c r="A68" s="127" t="s">
        <v>189</v>
      </c>
      <c r="B68" s="127"/>
      <c r="C68" s="127"/>
      <c r="D68" s="52"/>
      <c r="E68" s="53"/>
    </row>
    <row r="69" spans="1:5" ht="22.8" x14ac:dyDescent="0.2">
      <c r="A69" s="56"/>
      <c r="B69" s="57" t="s">
        <v>190</v>
      </c>
      <c r="C69" s="57" t="s">
        <v>191</v>
      </c>
      <c r="D69" s="58"/>
      <c r="E69" s="59"/>
    </row>
    <row r="70" spans="1:5" ht="22.8" x14ac:dyDescent="0.2">
      <c r="A70" s="56"/>
      <c r="B70" s="57" t="s">
        <v>192</v>
      </c>
      <c r="C70" s="57" t="s">
        <v>193</v>
      </c>
      <c r="D70" s="58"/>
      <c r="E70" s="59"/>
    </row>
    <row r="71" spans="1:5" ht="22.8" x14ac:dyDescent="0.2">
      <c r="A71" s="59"/>
      <c r="B71" s="57" t="s">
        <v>194</v>
      </c>
      <c r="C71" s="57" t="s">
        <v>195</v>
      </c>
      <c r="D71" s="58"/>
      <c r="E71" s="59"/>
    </row>
    <row r="72" spans="1:5" x14ac:dyDescent="0.2">
      <c r="A72" s="127" t="s">
        <v>196</v>
      </c>
      <c r="B72" s="127"/>
      <c r="C72" s="127"/>
      <c r="D72" s="52"/>
      <c r="E72" s="53"/>
    </row>
    <row r="73" spans="1:5" ht="22.8" x14ac:dyDescent="0.2">
      <c r="A73" s="56"/>
      <c r="B73" s="57" t="s">
        <v>197</v>
      </c>
      <c r="C73" s="57" t="s">
        <v>198</v>
      </c>
      <c r="D73" s="58"/>
      <c r="E73" s="59"/>
    </row>
    <row r="74" spans="1:5" ht="22.8" x14ac:dyDescent="0.2">
      <c r="A74" s="56"/>
      <c r="B74" s="57" t="s">
        <v>199</v>
      </c>
      <c r="C74" s="57" t="s">
        <v>200</v>
      </c>
      <c r="D74" s="58"/>
      <c r="E74" s="59"/>
    </row>
    <row r="75" spans="1:5" ht="22.8" x14ac:dyDescent="0.2">
      <c r="A75" s="56"/>
      <c r="B75" s="57" t="s">
        <v>201</v>
      </c>
      <c r="C75" s="57" t="s">
        <v>202</v>
      </c>
      <c r="D75" s="58"/>
      <c r="E75" s="59"/>
    </row>
    <row r="76" spans="1:5" ht="22.8" x14ac:dyDescent="0.2">
      <c r="A76" s="56"/>
      <c r="B76" s="57" t="s">
        <v>203</v>
      </c>
      <c r="C76" s="57" t="s">
        <v>204</v>
      </c>
      <c r="D76" s="58"/>
      <c r="E76" s="59"/>
    </row>
    <row r="77" spans="1:5" ht="22.8" x14ac:dyDescent="0.2">
      <c r="A77" s="59"/>
      <c r="B77" s="57" t="s">
        <v>205</v>
      </c>
      <c r="C77" s="57" t="s">
        <v>206</v>
      </c>
      <c r="D77" s="58"/>
      <c r="E77" s="59"/>
    </row>
    <row r="78" spans="1:5" x14ac:dyDescent="0.2">
      <c r="A78" s="127" t="s">
        <v>207</v>
      </c>
      <c r="B78" s="127"/>
      <c r="C78" s="127"/>
      <c r="D78" s="52"/>
      <c r="E78" s="53"/>
    </row>
    <row r="79" spans="1:5" ht="34.200000000000003" x14ac:dyDescent="0.2">
      <c r="A79" s="56"/>
      <c r="B79" s="57" t="s">
        <v>208</v>
      </c>
      <c r="C79" s="57" t="s">
        <v>209</v>
      </c>
      <c r="D79" s="58"/>
      <c r="E79" s="59"/>
    </row>
    <row r="80" spans="1:5" ht="34.200000000000003" x14ac:dyDescent="0.2">
      <c r="A80" s="56"/>
      <c r="B80" s="57" t="s">
        <v>210</v>
      </c>
      <c r="C80" s="57" t="s">
        <v>211</v>
      </c>
      <c r="D80" s="58"/>
      <c r="E80" s="59"/>
    </row>
    <row r="81" spans="1:9" ht="34.200000000000003" x14ac:dyDescent="0.2">
      <c r="A81" s="56"/>
      <c r="B81" s="57" t="s">
        <v>212</v>
      </c>
      <c r="C81" s="57" t="s">
        <v>213</v>
      </c>
      <c r="D81" s="58"/>
      <c r="E81" s="59"/>
    </row>
    <row r="82" spans="1:9" ht="22.8" x14ac:dyDescent="0.2">
      <c r="A82" s="59"/>
      <c r="B82" s="57" t="s">
        <v>214</v>
      </c>
      <c r="C82" s="57" t="s">
        <v>215</v>
      </c>
      <c r="D82" s="58"/>
      <c r="E82" s="59"/>
    </row>
    <row r="83" spans="1:9" x14ac:dyDescent="0.2">
      <c r="A83" s="127" t="s">
        <v>216</v>
      </c>
      <c r="B83" s="127"/>
      <c r="C83" s="127"/>
      <c r="D83" s="52"/>
      <c r="E83" s="53"/>
    </row>
    <row r="84" spans="1:9" x14ac:dyDescent="0.2">
      <c r="A84" s="56"/>
      <c r="B84" s="57" t="s">
        <v>217</v>
      </c>
      <c r="C84" s="57" t="s">
        <v>218</v>
      </c>
      <c r="D84" s="58"/>
      <c r="E84" s="59"/>
    </row>
    <row r="85" spans="1:9" ht="22.8" x14ac:dyDescent="0.2">
      <c r="A85" s="56"/>
      <c r="B85" s="57" t="s">
        <v>219</v>
      </c>
      <c r="C85" s="57" t="s">
        <v>220</v>
      </c>
      <c r="D85" s="58"/>
      <c r="E85" s="59"/>
    </row>
    <row r="86" spans="1:9" x14ac:dyDescent="0.2">
      <c r="A86" s="59"/>
      <c r="B86" s="57" t="s">
        <v>221</v>
      </c>
      <c r="C86" s="57" t="s">
        <v>222</v>
      </c>
      <c r="D86" s="58"/>
      <c r="E86" s="59"/>
    </row>
    <row r="87" spans="1:9" ht="22.8" x14ac:dyDescent="0.2">
      <c r="A87" s="128" t="s">
        <v>31</v>
      </c>
      <c r="B87" s="128"/>
      <c r="C87" s="128"/>
      <c r="D87" s="48">
        <f>D90</f>
        <v>949799.45700000005</v>
      </c>
      <c r="E87" s="49" t="s">
        <v>223</v>
      </c>
    </row>
    <row r="88" spans="1:9" x14ac:dyDescent="0.2">
      <c r="A88" s="127" t="s">
        <v>224</v>
      </c>
      <c r="B88" s="127"/>
      <c r="C88" s="127"/>
      <c r="D88" s="52"/>
      <c r="E88" s="53"/>
    </row>
    <row r="89" spans="1:9" ht="22.8" x14ac:dyDescent="0.2">
      <c r="A89" s="56"/>
      <c r="B89" s="57" t="s">
        <v>225</v>
      </c>
      <c r="C89" s="57" t="s">
        <v>226</v>
      </c>
      <c r="D89" s="58"/>
      <c r="E89" s="59"/>
    </row>
    <row r="90" spans="1:9" ht="22.8" x14ac:dyDescent="0.2">
      <c r="A90" s="56"/>
      <c r="B90" s="57" t="s">
        <v>227</v>
      </c>
      <c r="C90" s="57" t="s">
        <v>228</v>
      </c>
      <c r="D90" s="58">
        <f>D125*0.447</f>
        <v>949799.45700000005</v>
      </c>
      <c r="E90" s="59" t="s">
        <v>223</v>
      </c>
    </row>
    <row r="91" spans="1:9" ht="22.8" x14ac:dyDescent="0.2">
      <c r="A91" s="56"/>
      <c r="B91" s="57" t="s">
        <v>229</v>
      </c>
      <c r="C91" s="57" t="s">
        <v>230</v>
      </c>
      <c r="D91" s="58"/>
      <c r="E91" s="59"/>
    </row>
    <row r="92" spans="1:9" ht="22.8" x14ac:dyDescent="0.2">
      <c r="A92" s="56"/>
      <c r="B92" s="57" t="s">
        <v>231</v>
      </c>
      <c r="C92" s="114" t="s">
        <v>232</v>
      </c>
      <c r="D92" s="58"/>
      <c r="E92" s="59"/>
    </row>
    <row r="93" spans="1:9" ht="22.8" x14ac:dyDescent="0.2">
      <c r="A93" s="56"/>
      <c r="B93" s="57" t="s">
        <v>233</v>
      </c>
      <c r="C93" s="115"/>
      <c r="D93" s="58"/>
      <c r="E93" s="59"/>
    </row>
    <row r="94" spans="1:9" ht="22.8" x14ac:dyDescent="0.2">
      <c r="A94" s="59"/>
      <c r="B94" s="57" t="s">
        <v>234</v>
      </c>
      <c r="C94" s="57" t="s">
        <v>235</v>
      </c>
      <c r="D94" s="58"/>
      <c r="E94" s="59" t="s">
        <v>236</v>
      </c>
    </row>
    <row r="95" spans="1:9" ht="9.6" customHeight="1" x14ac:dyDescent="0.2"/>
    <row r="96" spans="1:9" ht="12" x14ac:dyDescent="0.25">
      <c r="A96" s="122" t="s">
        <v>237</v>
      </c>
      <c r="B96" s="122"/>
      <c r="C96" s="122"/>
      <c r="G96" s="124" t="s">
        <v>238</v>
      </c>
      <c r="H96" s="124"/>
      <c r="I96" s="124"/>
    </row>
    <row r="97" spans="1:24" ht="57" x14ac:dyDescent="0.2">
      <c r="A97" s="73">
        <v>1</v>
      </c>
      <c r="B97" s="73" t="s">
        <v>239</v>
      </c>
      <c r="C97" s="73">
        <v>420</v>
      </c>
      <c r="G97" s="59" t="s">
        <v>240</v>
      </c>
      <c r="H97" s="80">
        <f>H98*0.01</f>
        <v>202640.16</v>
      </c>
      <c r="I97" s="59" t="s">
        <v>241</v>
      </c>
      <c r="K97" s="81"/>
    </row>
    <row r="98" spans="1:24" ht="22.8" x14ac:dyDescent="0.2">
      <c r="A98" s="73">
        <v>2</v>
      </c>
      <c r="B98" s="73" t="s">
        <v>242</v>
      </c>
      <c r="C98" s="73">
        <v>30</v>
      </c>
      <c r="G98" s="59" t="s">
        <v>243</v>
      </c>
      <c r="H98" s="58">
        <v>20264016</v>
      </c>
      <c r="I98" s="59" t="s">
        <v>244</v>
      </c>
    </row>
    <row r="99" spans="1:24" ht="45.6" x14ac:dyDescent="0.2">
      <c r="A99" s="73">
        <v>3</v>
      </c>
      <c r="B99" s="73" t="s">
        <v>245</v>
      </c>
      <c r="C99" s="73">
        <v>31</v>
      </c>
      <c r="G99" s="59" t="s">
        <v>246</v>
      </c>
      <c r="H99" s="82">
        <f>H98*0.03*6</f>
        <v>3647522.88</v>
      </c>
      <c r="I99" s="59" t="s">
        <v>247</v>
      </c>
    </row>
    <row r="100" spans="1:24" ht="12" x14ac:dyDescent="0.25">
      <c r="A100" s="73">
        <v>4</v>
      </c>
      <c r="B100" s="73" t="s">
        <v>248</v>
      </c>
      <c r="C100" s="73">
        <f>C99</f>
        <v>31</v>
      </c>
      <c r="G100" s="59" t="s">
        <v>249</v>
      </c>
      <c r="H100" s="83">
        <f>H99+H98</f>
        <v>23911538.879999999</v>
      </c>
      <c r="I100" s="59"/>
    </row>
    <row r="101" spans="1:24" x14ac:dyDescent="0.2">
      <c r="A101" s="73">
        <v>5</v>
      </c>
      <c r="B101" s="73" t="s">
        <v>250</v>
      </c>
      <c r="C101" s="73">
        <f>C100</f>
        <v>31</v>
      </c>
    </row>
    <row r="102" spans="1:24" x14ac:dyDescent="0.2">
      <c r="A102" s="73">
        <v>6</v>
      </c>
      <c r="B102" s="73" t="s">
        <v>251</v>
      </c>
      <c r="C102" s="73">
        <v>410</v>
      </c>
    </row>
    <row r="103" spans="1:24" x14ac:dyDescent="0.2">
      <c r="A103" s="73">
        <v>7</v>
      </c>
      <c r="B103" s="73" t="s">
        <v>252</v>
      </c>
      <c r="C103" s="73">
        <v>20</v>
      </c>
    </row>
    <row r="104" spans="1:24" x14ac:dyDescent="0.2">
      <c r="A104" s="73">
        <v>8</v>
      </c>
      <c r="B104" s="73" t="s">
        <v>253</v>
      </c>
      <c r="C104" s="73">
        <v>1</v>
      </c>
    </row>
    <row r="105" spans="1:24" x14ac:dyDescent="0.2">
      <c r="A105" s="73">
        <v>9</v>
      </c>
      <c r="B105" s="73" t="s">
        <v>254</v>
      </c>
      <c r="C105" s="73">
        <v>6.2</v>
      </c>
    </row>
    <row r="106" spans="1:24" x14ac:dyDescent="0.2">
      <c r="A106" s="73">
        <v>10</v>
      </c>
      <c r="B106" s="73" t="s">
        <v>255</v>
      </c>
      <c r="C106" s="73">
        <v>11</v>
      </c>
    </row>
    <row r="107" spans="1:24" x14ac:dyDescent="0.2">
      <c r="A107" s="73">
        <v>11</v>
      </c>
      <c r="B107" s="73" t="s">
        <v>256</v>
      </c>
      <c r="C107" s="73">
        <v>10</v>
      </c>
    </row>
    <row r="108" spans="1:24" x14ac:dyDescent="0.2">
      <c r="A108" s="73">
        <v>12</v>
      </c>
      <c r="B108" s="73" t="s">
        <v>257</v>
      </c>
      <c r="C108" s="84">
        <v>0.44700000000000001</v>
      </c>
    </row>
    <row r="109" spans="1:24" x14ac:dyDescent="0.2">
      <c r="A109" s="73">
        <v>13</v>
      </c>
      <c r="B109" s="73" t="s">
        <v>258</v>
      </c>
      <c r="C109" s="74">
        <v>20264016</v>
      </c>
      <c r="D109" s="47" t="s">
        <v>259</v>
      </c>
    </row>
    <row r="111" spans="1:24" ht="12" x14ac:dyDescent="0.25">
      <c r="B111" s="119" t="s">
        <v>260</v>
      </c>
      <c r="C111" s="120"/>
      <c r="D111" s="121"/>
      <c r="E111" s="85"/>
      <c r="F111" s="85"/>
      <c r="J111" s="86"/>
      <c r="K111" s="86"/>
      <c r="L111" s="86"/>
      <c r="M111" s="86"/>
      <c r="N111" s="86"/>
      <c r="O111" s="86"/>
      <c r="P111" s="86"/>
      <c r="Q111" s="86"/>
      <c r="R111" s="86"/>
      <c r="S111" s="86"/>
      <c r="T111" s="86"/>
      <c r="U111" s="86"/>
      <c r="V111" s="86"/>
      <c r="W111" s="86"/>
      <c r="X111" s="86"/>
    </row>
    <row r="112" spans="1:24" x14ac:dyDescent="0.2">
      <c r="B112" s="116" t="s">
        <v>261</v>
      </c>
      <c r="C112" s="117"/>
      <c r="D112" s="118"/>
      <c r="E112" s="87"/>
      <c r="F112" s="86"/>
    </row>
    <row r="113" spans="2:8" ht="36" x14ac:dyDescent="0.25">
      <c r="B113" s="88" t="s">
        <v>262</v>
      </c>
      <c r="C113" s="88" t="s">
        <v>263</v>
      </c>
      <c r="D113" s="89" t="s">
        <v>264</v>
      </c>
      <c r="E113" s="47"/>
      <c r="F113" s="47"/>
      <c r="G113" s="47"/>
      <c r="H113" s="47"/>
    </row>
    <row r="114" spans="2:8" x14ac:dyDescent="0.2">
      <c r="B114" s="90" t="s">
        <v>265</v>
      </c>
      <c r="C114" s="90" t="s">
        <v>266</v>
      </c>
      <c r="D114" s="91">
        <v>303700</v>
      </c>
      <c r="E114" s="47"/>
      <c r="F114" s="47"/>
      <c r="G114" s="47"/>
      <c r="H114" s="47"/>
    </row>
    <row r="115" spans="2:8" x14ac:dyDescent="0.2">
      <c r="B115" s="90" t="s">
        <v>267</v>
      </c>
      <c r="C115" s="90" t="s">
        <v>268</v>
      </c>
      <c r="D115" s="91">
        <v>472223</v>
      </c>
      <c r="E115" s="47"/>
      <c r="F115" s="47"/>
      <c r="G115" s="47"/>
      <c r="H115" s="47"/>
    </row>
    <row r="116" spans="2:8" x14ac:dyDescent="0.2">
      <c r="B116" s="90" t="s">
        <v>267</v>
      </c>
      <c r="C116" s="90" t="s">
        <v>269</v>
      </c>
      <c r="D116" s="91">
        <v>54775</v>
      </c>
      <c r="E116" s="47"/>
      <c r="F116" s="47"/>
      <c r="G116" s="47"/>
      <c r="H116" s="47"/>
    </row>
    <row r="117" spans="2:8" x14ac:dyDescent="0.2">
      <c r="B117" s="90" t="s">
        <v>267</v>
      </c>
      <c r="C117" s="90" t="s">
        <v>270</v>
      </c>
      <c r="D117" s="91">
        <v>64467</v>
      </c>
      <c r="E117" s="47"/>
      <c r="F117" s="47"/>
      <c r="G117" s="47"/>
      <c r="H117" s="47"/>
    </row>
    <row r="118" spans="2:8" x14ac:dyDescent="0.2">
      <c r="B118" s="90" t="s">
        <v>267</v>
      </c>
      <c r="C118" s="90" t="s">
        <v>271</v>
      </c>
      <c r="D118" s="91">
        <v>126545</v>
      </c>
      <c r="E118" s="47"/>
      <c r="F118" s="47"/>
      <c r="G118" s="47"/>
      <c r="H118" s="47"/>
    </row>
    <row r="119" spans="2:8" x14ac:dyDescent="0.2">
      <c r="B119" s="90" t="s">
        <v>272</v>
      </c>
      <c r="C119" s="90" t="s">
        <v>273</v>
      </c>
      <c r="D119" s="91">
        <v>70925</v>
      </c>
      <c r="E119" s="47"/>
      <c r="F119" s="47"/>
      <c r="G119" s="47"/>
      <c r="H119" s="47"/>
    </row>
    <row r="120" spans="2:8" x14ac:dyDescent="0.2">
      <c r="B120" s="90" t="s">
        <v>274</v>
      </c>
      <c r="C120" s="90" t="s">
        <v>275</v>
      </c>
      <c r="D120" s="91">
        <v>159016</v>
      </c>
      <c r="E120" s="47"/>
      <c r="F120" s="47"/>
      <c r="G120" s="47"/>
      <c r="H120" s="47"/>
    </row>
    <row r="121" spans="2:8" x14ac:dyDescent="0.2">
      <c r="B121" s="90" t="s">
        <v>276</v>
      </c>
      <c r="C121" s="90" t="s">
        <v>277</v>
      </c>
      <c r="D121" s="91">
        <v>143834</v>
      </c>
      <c r="E121" s="47"/>
      <c r="F121" s="47"/>
      <c r="G121" s="47"/>
      <c r="H121" s="47"/>
    </row>
    <row r="122" spans="2:8" x14ac:dyDescent="0.2">
      <c r="B122" s="90" t="s">
        <v>276</v>
      </c>
      <c r="C122" s="90" t="s">
        <v>278</v>
      </c>
      <c r="D122" s="91">
        <v>280557</v>
      </c>
      <c r="E122" s="47"/>
      <c r="F122" s="47"/>
      <c r="G122" s="47"/>
      <c r="H122" s="47"/>
    </row>
    <row r="123" spans="2:8" x14ac:dyDescent="0.2">
      <c r="B123" s="90" t="s">
        <v>279</v>
      </c>
      <c r="C123" s="90" t="s">
        <v>280</v>
      </c>
      <c r="D123" s="91">
        <v>82889</v>
      </c>
      <c r="E123" s="47"/>
      <c r="F123" s="47"/>
      <c r="G123" s="47"/>
      <c r="H123" s="47"/>
    </row>
    <row r="124" spans="2:8" x14ac:dyDescent="0.2">
      <c r="B124" s="90" t="s">
        <v>272</v>
      </c>
      <c r="C124" s="90" t="s">
        <v>281</v>
      </c>
      <c r="D124" s="91">
        <v>365900</v>
      </c>
      <c r="E124" s="47"/>
      <c r="F124" s="47"/>
      <c r="G124" s="47"/>
      <c r="H124" s="47"/>
    </row>
    <row r="125" spans="2:8" ht="12" x14ac:dyDescent="0.25">
      <c r="B125" s="92" t="s">
        <v>282</v>
      </c>
      <c r="C125" s="90"/>
      <c r="D125" s="93">
        <v>2124831</v>
      </c>
      <c r="E125" s="47"/>
      <c r="F125" s="47"/>
      <c r="G125" s="47"/>
      <c r="H125" s="47"/>
    </row>
    <row r="126" spans="2:8" x14ac:dyDescent="0.2">
      <c r="D126" s="45"/>
      <c r="E126" s="47"/>
      <c r="F126" s="47"/>
      <c r="G126" s="47"/>
      <c r="H126" s="47"/>
    </row>
    <row r="127" spans="2:8" x14ac:dyDescent="0.2">
      <c r="D127" s="45"/>
      <c r="F127" s="60"/>
      <c r="G127" s="47"/>
      <c r="H127" s="47"/>
    </row>
    <row r="128" spans="2:8" x14ac:dyDescent="0.2">
      <c r="D128" s="45"/>
      <c r="F128" s="60"/>
      <c r="G128" s="47"/>
      <c r="H128" s="47"/>
    </row>
  </sheetData>
  <mergeCells count="40">
    <mergeCell ref="A49:C49"/>
    <mergeCell ref="A53:C53"/>
    <mergeCell ref="A26:A28"/>
    <mergeCell ref="A2:C2"/>
    <mergeCell ref="A3:C3"/>
    <mergeCell ref="A6:C6"/>
    <mergeCell ref="A12:C12"/>
    <mergeCell ref="A11:C11"/>
    <mergeCell ref="A88:C88"/>
    <mergeCell ref="A87:C87"/>
    <mergeCell ref="A17:C17"/>
    <mergeCell ref="D19:D22"/>
    <mergeCell ref="E19:E22"/>
    <mergeCell ref="A25:C25"/>
    <mergeCell ref="A30:C30"/>
    <mergeCell ref="A35:C35"/>
    <mergeCell ref="A29:C29"/>
    <mergeCell ref="A18:C18"/>
    <mergeCell ref="A63:A67"/>
    <mergeCell ref="A58:C58"/>
    <mergeCell ref="A61:C61"/>
    <mergeCell ref="A62:C62"/>
    <mergeCell ref="A39:C39"/>
    <mergeCell ref="A40:C40"/>
    <mergeCell ref="J1:J2"/>
    <mergeCell ref="K1:K2"/>
    <mergeCell ref="M1:M2"/>
    <mergeCell ref="C92:C93"/>
    <mergeCell ref="B112:D112"/>
    <mergeCell ref="B111:D111"/>
    <mergeCell ref="A96:C96"/>
    <mergeCell ref="G13:H13"/>
    <mergeCell ref="G96:I96"/>
    <mergeCell ref="G1:G2"/>
    <mergeCell ref="H1:H2"/>
    <mergeCell ref="I1:I2"/>
    <mergeCell ref="A68:C68"/>
    <mergeCell ref="A72:C72"/>
    <mergeCell ref="A78:C78"/>
    <mergeCell ref="A83:C83"/>
  </mergeCells>
  <hyperlinks>
    <hyperlink ref="B112" r:id="rId1" xr:uid="{4D7EF4D0-284C-EE48-B78C-DAF15A64984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98004-797F-2F4B-A8A3-33A46733F2F2}">
  <dimension ref="A1:M25"/>
  <sheetViews>
    <sheetView zoomScale="70" zoomScaleNormal="70" workbookViewId="0">
      <selection activeCell="M7" sqref="M7"/>
    </sheetView>
  </sheetViews>
  <sheetFormatPr defaultColWidth="11" defaultRowHeight="113.1" customHeight="1" x14ac:dyDescent="0.3"/>
  <cols>
    <col min="1" max="1" width="25.09765625" style="19" customWidth="1"/>
    <col min="2" max="4" width="21.09765625" style="19" customWidth="1"/>
    <col min="5" max="6" width="11.5" style="21" bestFit="1" customWidth="1"/>
    <col min="7" max="7" width="14" style="21" bestFit="1" customWidth="1"/>
    <col min="8" max="8" width="13" style="21" customWidth="1"/>
    <col min="9" max="10" width="11.59765625" bestFit="1" customWidth="1"/>
    <col min="11" max="11" width="12.09765625" style="21" customWidth="1"/>
    <col min="12" max="12" width="13.09765625" style="21" bestFit="1" customWidth="1"/>
    <col min="13" max="13" width="48.8984375" style="19" customWidth="1"/>
    <col min="18" max="18" width="16.09765625" customWidth="1"/>
    <col min="19" max="19" width="23.59765625" customWidth="1"/>
  </cols>
  <sheetData>
    <row r="1" spans="1:13" ht="34.5" customHeight="1" x14ac:dyDescent="0.3">
      <c r="A1" s="25" t="s">
        <v>283</v>
      </c>
      <c r="B1" s="25" t="s">
        <v>284</v>
      </c>
      <c r="C1" s="26" t="s">
        <v>285</v>
      </c>
      <c r="D1" s="25" t="s">
        <v>286</v>
      </c>
      <c r="E1" s="133" t="s">
        <v>287</v>
      </c>
      <c r="F1" s="133"/>
      <c r="G1" s="133"/>
      <c r="H1" s="133"/>
      <c r="I1" s="133"/>
      <c r="J1" s="133"/>
      <c r="K1" s="133"/>
      <c r="L1" s="133"/>
      <c r="M1" s="25" t="s">
        <v>41</v>
      </c>
    </row>
    <row r="2" spans="1:13" ht="57" customHeight="1" x14ac:dyDescent="0.3">
      <c r="A2" s="33"/>
      <c r="B2" s="33"/>
      <c r="C2" s="33"/>
      <c r="D2" s="33"/>
      <c r="E2" s="34" t="s">
        <v>288</v>
      </c>
      <c r="F2" s="34" t="s">
        <v>289</v>
      </c>
      <c r="G2" s="35" t="s">
        <v>290</v>
      </c>
      <c r="H2" s="34" t="s">
        <v>291</v>
      </c>
      <c r="I2" s="34" t="s">
        <v>292</v>
      </c>
      <c r="J2" s="34" t="s">
        <v>293</v>
      </c>
      <c r="K2" s="36" t="s">
        <v>294</v>
      </c>
      <c r="L2" s="34" t="s">
        <v>295</v>
      </c>
      <c r="M2" s="37" t="s">
        <v>41</v>
      </c>
    </row>
    <row r="3" spans="1:13" ht="87" customHeight="1" x14ac:dyDescent="0.3">
      <c r="A3" s="38" t="s">
        <v>296</v>
      </c>
      <c r="B3" s="38" t="s">
        <v>297</v>
      </c>
      <c r="C3" s="39" t="s">
        <v>298</v>
      </c>
      <c r="D3" s="40">
        <v>0</v>
      </c>
      <c r="E3" s="28">
        <f t="shared" ref="E3:E8" si="0">G3/2</f>
        <v>576071.07850000006</v>
      </c>
      <c r="F3" s="28">
        <f>E3/2</f>
        <v>288035.53925000003</v>
      </c>
      <c r="G3" s="28">
        <f>'Annex 23a'!E13</f>
        <v>1152142.1570000001</v>
      </c>
      <c r="H3" s="28">
        <f>G3*0.5</f>
        <v>576071.07850000006</v>
      </c>
      <c r="I3" s="30">
        <f>K3/2</f>
        <v>486344.42149999994</v>
      </c>
      <c r="J3" s="30">
        <f>I3*0.5</f>
        <v>243172.21074999997</v>
      </c>
      <c r="K3" s="28">
        <f>Data!$D$125-'E3'!G3</f>
        <v>972688.84299999988</v>
      </c>
      <c r="L3" s="28">
        <f>K3*0.5</f>
        <v>486344.42149999994</v>
      </c>
      <c r="M3" s="132" t="s">
        <v>299</v>
      </c>
    </row>
    <row r="4" spans="1:13" ht="60.9" customHeight="1" x14ac:dyDescent="0.3">
      <c r="A4" s="41" t="s">
        <v>300</v>
      </c>
      <c r="B4" s="41" t="s">
        <v>301</v>
      </c>
      <c r="C4" s="39" t="s">
        <v>298</v>
      </c>
      <c r="D4" s="42">
        <v>0</v>
      </c>
      <c r="E4" s="28">
        <f t="shared" si="0"/>
        <v>576071.07850000006</v>
      </c>
      <c r="F4" s="28">
        <f>E4/2</f>
        <v>288035.53925000003</v>
      </c>
      <c r="G4" s="28">
        <f>'Annex 23a'!E13</f>
        <v>1152142.1570000001</v>
      </c>
      <c r="H4" s="28">
        <f>G4*0.5</f>
        <v>576071.07850000006</v>
      </c>
      <c r="I4" s="30">
        <f t="shared" ref="I4:I9" si="1">K4/2</f>
        <v>486344.42149999994</v>
      </c>
      <c r="J4" s="30">
        <f t="shared" ref="J4:J9" si="2">I4*0.5</f>
        <v>243172.21074999997</v>
      </c>
      <c r="K4" s="28">
        <f>Data!$D$125-'E3'!G4</f>
        <v>972688.84299999988</v>
      </c>
      <c r="L4" s="28">
        <f>K4*0.5</f>
        <v>486344.42149999994</v>
      </c>
      <c r="M4" s="132"/>
    </row>
    <row r="5" spans="1:13" ht="92.25" customHeight="1" x14ac:dyDescent="0.3">
      <c r="A5" s="38" t="s">
        <v>296</v>
      </c>
      <c r="B5" s="38" t="s">
        <v>302</v>
      </c>
      <c r="C5" s="39" t="s">
        <v>303</v>
      </c>
      <c r="D5" s="40">
        <v>0</v>
      </c>
      <c r="E5" s="28">
        <f t="shared" si="0"/>
        <v>321316</v>
      </c>
      <c r="F5" s="28">
        <f>E5/2</f>
        <v>160658</v>
      </c>
      <c r="G5" s="28">
        <f>Data!D13+Data!D27+Data!D29+Data!D39</f>
        <v>642632</v>
      </c>
      <c r="H5" s="28">
        <f>G5*0.5</f>
        <v>321316</v>
      </c>
      <c r="I5" s="31"/>
      <c r="J5" s="31"/>
      <c r="K5" s="31"/>
      <c r="L5" s="31"/>
      <c r="M5" s="43" t="s">
        <v>304</v>
      </c>
    </row>
    <row r="6" spans="1:13" ht="113.1" customHeight="1" x14ac:dyDescent="0.3">
      <c r="A6" s="38" t="s">
        <v>305</v>
      </c>
      <c r="B6" s="38" t="s">
        <v>306</v>
      </c>
      <c r="C6" s="39" t="s">
        <v>303</v>
      </c>
      <c r="D6" s="40">
        <v>0</v>
      </c>
      <c r="E6" s="28">
        <f t="shared" si="0"/>
        <v>449650</v>
      </c>
      <c r="F6" s="28">
        <f>E6/2</f>
        <v>224825</v>
      </c>
      <c r="G6" s="28">
        <f>'Annex 23a'!E7</f>
        <v>899300</v>
      </c>
      <c r="H6" s="28">
        <f>G6*0.5</f>
        <v>449650</v>
      </c>
      <c r="I6" s="31"/>
      <c r="J6" s="31"/>
      <c r="K6" s="31"/>
      <c r="L6" s="31"/>
      <c r="M6" s="27" t="s">
        <v>307</v>
      </c>
    </row>
    <row r="7" spans="1:13" ht="113.1" customHeight="1" x14ac:dyDescent="0.3">
      <c r="A7" s="38" t="s">
        <v>296</v>
      </c>
      <c r="B7" s="38" t="s">
        <v>308</v>
      </c>
      <c r="C7" s="39" t="s">
        <v>303</v>
      </c>
      <c r="D7" s="40">
        <v>0</v>
      </c>
      <c r="E7" s="28">
        <f t="shared" si="0"/>
        <v>474899.72850000003</v>
      </c>
      <c r="F7" s="28">
        <f>E7/2</f>
        <v>237449.86425000001</v>
      </c>
      <c r="G7" s="28">
        <f>Data!D87</f>
        <v>949799.45700000005</v>
      </c>
      <c r="H7" s="28">
        <f>G7*0.5</f>
        <v>474899.72850000003</v>
      </c>
      <c r="I7" s="31"/>
      <c r="J7" s="31"/>
      <c r="K7" s="31"/>
      <c r="L7" s="31"/>
      <c r="M7" s="27" t="s">
        <v>309</v>
      </c>
    </row>
    <row r="8" spans="1:13" ht="113.1" customHeight="1" x14ac:dyDescent="0.3">
      <c r="A8" s="38" t="s">
        <v>310</v>
      </c>
      <c r="B8" s="38" t="s">
        <v>311</v>
      </c>
      <c r="C8" s="38"/>
      <c r="D8" s="38"/>
      <c r="E8" s="29">
        <f t="shared" si="0"/>
        <v>11955769.439999999</v>
      </c>
      <c r="F8" s="31"/>
      <c r="G8" s="29">
        <f>Data!H100</f>
        <v>23911538.879999999</v>
      </c>
      <c r="H8" s="31"/>
      <c r="I8" s="32">
        <f t="shared" si="1"/>
        <v>0</v>
      </c>
      <c r="J8" s="32">
        <f t="shared" si="2"/>
        <v>0</v>
      </c>
      <c r="K8" s="31"/>
      <c r="L8" s="31"/>
      <c r="M8" s="27" t="s">
        <v>312</v>
      </c>
    </row>
    <row r="9" spans="1:13" ht="124.8" x14ac:dyDescent="0.3">
      <c r="A9" s="38" t="s">
        <v>313</v>
      </c>
      <c r="B9" s="38" t="s">
        <v>314</v>
      </c>
      <c r="C9" s="39" t="s">
        <v>315</v>
      </c>
      <c r="D9" s="38"/>
      <c r="E9" s="31">
        <f>H9/2</f>
        <v>25625</v>
      </c>
      <c r="F9" s="31"/>
      <c r="G9" s="31"/>
      <c r="H9" s="28">
        <f>Data!D12+(420*30*0.75)</f>
        <v>51250</v>
      </c>
      <c r="I9" s="32">
        <f t="shared" si="1"/>
        <v>0</v>
      </c>
      <c r="J9" s="32">
        <f t="shared" si="2"/>
        <v>0</v>
      </c>
      <c r="K9" s="31"/>
      <c r="L9" s="31"/>
      <c r="M9" s="27" t="s">
        <v>316</v>
      </c>
    </row>
    <row r="10" spans="1:13" ht="78" customHeight="1" x14ac:dyDescent="0.3"/>
    <row r="11" spans="1:13" ht="113.1" customHeight="1" x14ac:dyDescent="0.3">
      <c r="A11" s="22"/>
      <c r="B11" s="22"/>
      <c r="C11" s="22"/>
      <c r="D11" s="22"/>
    </row>
    <row r="12" spans="1:13" ht="113.1" customHeight="1" x14ac:dyDescent="0.3">
      <c r="A12" s="20"/>
      <c r="B12" s="20"/>
      <c r="C12" s="20"/>
      <c r="D12" s="20"/>
    </row>
    <row r="13" spans="1:13" ht="113.1" customHeight="1" x14ac:dyDescent="0.3">
      <c r="A13" s="20"/>
      <c r="B13" s="20"/>
      <c r="C13" s="20"/>
      <c r="D13" s="20"/>
    </row>
    <row r="14" spans="1:13" ht="113.1" customHeight="1" x14ac:dyDescent="0.3">
      <c r="A14" s="20"/>
      <c r="B14" s="20"/>
      <c r="C14" s="20"/>
      <c r="D14" s="20"/>
    </row>
    <row r="15" spans="1:13" ht="113.1" customHeight="1" x14ac:dyDescent="0.3">
      <c r="A15" s="20"/>
      <c r="B15" s="20"/>
      <c r="C15" s="20"/>
      <c r="D15" s="20"/>
    </row>
    <row r="16" spans="1:13" ht="113.1" customHeight="1" x14ac:dyDescent="0.3">
      <c r="A16" s="20"/>
      <c r="B16" s="20"/>
      <c r="C16" s="20"/>
      <c r="D16" s="20"/>
    </row>
    <row r="17" spans="1:4" ht="113.1" customHeight="1" x14ac:dyDescent="0.3">
      <c r="A17" s="20"/>
      <c r="B17" s="20"/>
      <c r="C17" s="20"/>
      <c r="D17" s="20"/>
    </row>
    <row r="18" spans="1:4" ht="113.1" customHeight="1" x14ac:dyDescent="0.3">
      <c r="A18" s="20"/>
      <c r="B18" s="20"/>
      <c r="C18" s="20"/>
      <c r="D18" s="20"/>
    </row>
    <row r="19" spans="1:4" ht="113.1" customHeight="1" x14ac:dyDescent="0.3">
      <c r="A19" s="20"/>
      <c r="B19" s="20"/>
      <c r="C19" s="20"/>
      <c r="D19" s="20"/>
    </row>
    <row r="20" spans="1:4" ht="113.1" customHeight="1" x14ac:dyDescent="0.3">
      <c r="A20" s="20"/>
      <c r="B20" s="20"/>
      <c r="C20" s="20"/>
      <c r="D20" s="20"/>
    </row>
    <row r="21" spans="1:4" ht="113.1" customHeight="1" x14ac:dyDescent="0.3">
      <c r="A21" s="20"/>
      <c r="B21" s="20"/>
      <c r="C21" s="20"/>
      <c r="D21" s="20"/>
    </row>
    <row r="22" spans="1:4" ht="113.1" customHeight="1" x14ac:dyDescent="0.3">
      <c r="A22" s="20"/>
      <c r="B22" s="20"/>
      <c r="C22" s="20"/>
      <c r="D22" s="20"/>
    </row>
    <row r="23" spans="1:4" ht="113.1" customHeight="1" x14ac:dyDescent="0.3">
      <c r="A23" s="20"/>
      <c r="B23" s="20"/>
      <c r="C23" s="20"/>
      <c r="D23" s="20"/>
    </row>
    <row r="24" spans="1:4" ht="113.1" customHeight="1" x14ac:dyDescent="0.3">
      <c r="A24" s="20"/>
      <c r="B24" s="20"/>
      <c r="C24" s="20"/>
      <c r="D24" s="20"/>
    </row>
    <row r="25" spans="1:4" ht="113.1" customHeight="1" x14ac:dyDescent="0.3">
      <c r="A25" s="20"/>
      <c r="B25" s="20"/>
      <c r="C25" s="20"/>
      <c r="D25" s="20"/>
    </row>
  </sheetData>
  <mergeCells count="2">
    <mergeCell ref="M3:M4"/>
    <mergeCell ref="E1:L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4151E990-1CBF-4CA4-A5F5-C0DF18127F68}"/>
</file>

<file path=customXml/itemProps2.xml><?xml version="1.0" encoding="utf-8"?>
<ds:datastoreItem xmlns:ds="http://schemas.openxmlformats.org/officeDocument/2006/customXml" ds:itemID="{B6695510-1AEB-41F1-9109-E21737E35E73}"/>
</file>

<file path=customXml/itemProps3.xml><?xml version="1.0" encoding="utf-8"?>
<ds:datastoreItem xmlns:ds="http://schemas.openxmlformats.org/officeDocument/2006/customXml" ds:itemID="{8260210C-88D0-448A-886A-D23033C3A2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Annex 23a</vt:lpstr>
      <vt:lpstr>Data</vt:lpstr>
      <vt:lpstr>E3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joana.talafre</dc:creator>
  <cp:keywords/>
  <dc:description/>
  <cp:lastModifiedBy>Kato, Hoshie (OCBD)</cp:lastModifiedBy>
  <cp:revision/>
  <dcterms:created xsi:type="dcterms:W3CDTF">2024-06-11T15:13:07Z</dcterms:created>
  <dcterms:modified xsi:type="dcterms:W3CDTF">2024-08-08T05:07:21Z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