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embeddings/oleObject1.bin" ContentType="application/vnd.openxmlformats-officedocument.oleObject"/>
  <Override PartName="/xl/embeddings/oleObject2.bin" ContentType="application/vnd.openxmlformats-officedocument.oleObject"/>
  <Override PartName="/xl/embeddings/oleObject3.bin" ContentType="application/vnd.openxmlformats-officedocument.oleObject"/>
  <Override PartName="/xl/embeddings/oleObject4.bin" ContentType="application/vnd.openxmlformats-officedocument.oleObject"/>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2"/>
  <workbookPr/>
  <mc:AlternateContent xmlns:mc="http://schemas.openxmlformats.org/markup-compatibility/2006">
    <mc:Choice Requires="x15">
      <x15ac:absPath xmlns:x15ac="http://schemas.microsoft.com/office/spreadsheetml/2010/11/ac" url="C:\Users\HP\Desktop\GCF\New MOWIE project\project proposal\GCF feedback\6th round documents\6th round documents\7th round\final versions\8th round\"/>
    </mc:Choice>
  </mc:AlternateContent>
  <xr:revisionPtr revIDLastSave="5" documentId="13_ncr:1_{7F4907D5-9F19-4226-942E-3C6A2996BB94}" xr6:coauthVersionLast="47" xr6:coauthVersionMax="47" xr10:uidLastSave="{900DD851-5BF5-4D7C-A589-AF3169BC0FD0}"/>
  <bookViews>
    <workbookView xWindow="-110" yWindow="-110" windowWidth="19420" windowHeight="11620" firstSheet="4" activeTab="9" xr2:uid="{D58C3B76-7314-4C5B-AA3A-0174715DAEB3}"/>
  </bookViews>
  <sheets>
    <sheet name="Budget Summary" sheetId="6" r:id="rId1"/>
    <sheet name="Detailed Budget" sheetId="7" r:id="rId2"/>
    <sheet name="PMU detail breakdown" sheetId="9" r:id="rId3"/>
    <sheet name="Budget in GCF Template" sheetId="8" r:id="rId4"/>
    <sheet name="1.1.1.Rehabilitation of wells" sheetId="1" r:id="rId5"/>
    <sheet name="1.1.2.Solar PV" sheetId="2" r:id="rId6"/>
    <sheet name="1.2.1.1 Consultanting Firms" sheetId="10" r:id="rId7"/>
    <sheet name="1.2.1.2.Pipes and Fittings" sheetId="3" r:id="rId8"/>
    <sheet name="1.2.1.3. Excavation and prep" sheetId="4" r:id="rId9"/>
    <sheet name="1.2.1.4. Installation" sheetId="5" r:id="rId10"/>
    <sheet name="1.2.1.5. Testing and commission" sheetId="11" r:id="rId11"/>
  </sheets>
  <externalReferences>
    <externalReference r:id="rId12"/>
  </externalReferences>
  <definedNames>
    <definedName name="_xlnm._FilterDatabase" localSheetId="3" hidden="1">'Budget in GCF Template'!$C$1:$C$132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46" i="8" l="1"/>
  <c r="M47" i="8"/>
  <c r="M48" i="8"/>
  <c r="M49" i="8"/>
  <c r="M61" i="8" l="1"/>
  <c r="I25" i="7"/>
  <c r="I22" i="7"/>
  <c r="I29" i="7" l="1"/>
  <c r="H32" i="7"/>
  <c r="I30" i="7"/>
  <c r="I31" i="7"/>
  <c r="K29" i="7"/>
  <c r="K30" i="7"/>
  <c r="K31" i="7"/>
  <c r="K32" i="7"/>
  <c r="K33" i="7"/>
  <c r="J32" i="7"/>
  <c r="I33" i="7"/>
  <c r="E3" i="11"/>
  <c r="E5" i="11" s="1"/>
  <c r="E9" i="10"/>
  <c r="E7" i="10"/>
  <c r="E6" i="10"/>
  <c r="E5" i="10"/>
  <c r="E4" i="10"/>
  <c r="E3" i="10"/>
  <c r="M17" i="8"/>
  <c r="H72" i="7"/>
  <c r="H71" i="7"/>
  <c r="H70" i="7"/>
  <c r="H69" i="7"/>
  <c r="G21" i="9"/>
  <c r="I21" i="9" s="1"/>
  <c r="G20" i="9"/>
  <c r="H20" i="9" s="1"/>
  <c r="G18" i="9"/>
  <c r="H18" i="9" s="1"/>
  <c r="G17" i="9"/>
  <c r="I17" i="9" s="1"/>
  <c r="G10" i="9"/>
  <c r="H10" i="9" s="1"/>
  <c r="G11" i="9"/>
  <c r="H11" i="9" s="1"/>
  <c r="G8" i="9"/>
  <c r="H8" i="9" s="1"/>
  <c r="G7" i="9"/>
  <c r="I7" i="9" s="1"/>
  <c r="G22" i="9" l="1"/>
  <c r="I20" i="9"/>
  <c r="I22" i="9" s="1"/>
  <c r="H21" i="9"/>
  <c r="H22" i="9" s="1"/>
  <c r="H12" i="9"/>
  <c r="G9" i="9"/>
  <c r="G12" i="9"/>
  <c r="G23" i="9" s="1"/>
  <c r="G19" i="9"/>
  <c r="I18" i="9"/>
  <c r="I19" i="9" s="1"/>
  <c r="I10" i="9"/>
  <c r="I11" i="9"/>
  <c r="H17" i="9"/>
  <c r="H19" i="9" s="1"/>
  <c r="I8" i="9"/>
  <c r="I9" i="9" s="1"/>
  <c r="H7" i="9"/>
  <c r="H9" i="9" s="1"/>
  <c r="C25" i="6"/>
  <c r="C24" i="6"/>
  <c r="D24" i="6" s="1"/>
  <c r="F24" i="6" s="1"/>
  <c r="C23" i="6"/>
  <c r="F23" i="6" s="1"/>
  <c r="B22" i="6"/>
  <c r="B21" i="6"/>
  <c r="D21" i="6" s="1"/>
  <c r="E21" i="6" s="1"/>
  <c r="B20" i="6"/>
  <c r="D20" i="6" s="1"/>
  <c r="F20" i="6" s="1"/>
  <c r="C19" i="6"/>
  <c r="F19" i="6" s="1"/>
  <c r="B17" i="6"/>
  <c r="F35" i="3"/>
  <c r="M126" i="8"/>
  <c r="M125" i="8"/>
  <c r="N126" i="8" s="1"/>
  <c r="M124" i="8"/>
  <c r="M123" i="8"/>
  <c r="M122" i="8"/>
  <c r="M121" i="8"/>
  <c r="L128" i="8"/>
  <c r="M118" i="8"/>
  <c r="M117" i="8"/>
  <c r="M116" i="8"/>
  <c r="M115" i="8"/>
  <c r="M114" i="8"/>
  <c r="M113" i="8"/>
  <c r="M112" i="8"/>
  <c r="M111" i="8"/>
  <c r="M110" i="8"/>
  <c r="M109" i="8"/>
  <c r="M108" i="8"/>
  <c r="M107" i="8"/>
  <c r="M106" i="8"/>
  <c r="M105" i="8"/>
  <c r="M104" i="8"/>
  <c r="M103" i="8"/>
  <c r="M102" i="8"/>
  <c r="M101" i="8"/>
  <c r="M100" i="8"/>
  <c r="M99" i="8"/>
  <c r="M98" i="8"/>
  <c r="M97" i="8"/>
  <c r="M96" i="8"/>
  <c r="M95" i="8"/>
  <c r="M94" i="8"/>
  <c r="M93" i="8"/>
  <c r="M92" i="8"/>
  <c r="M91" i="8"/>
  <c r="M90" i="8"/>
  <c r="M89" i="8"/>
  <c r="M88" i="8"/>
  <c r="N89" i="8" s="1"/>
  <c r="M87" i="8"/>
  <c r="M86" i="8"/>
  <c r="M85" i="8"/>
  <c r="M84" i="8"/>
  <c r="M83" i="8"/>
  <c r="M82" i="8"/>
  <c r="M81" i="8"/>
  <c r="M80" i="8"/>
  <c r="M79" i="8"/>
  <c r="M78" i="8"/>
  <c r="M77" i="8"/>
  <c r="M76" i="8"/>
  <c r="M75" i="8"/>
  <c r="M74" i="8"/>
  <c r="M73" i="8"/>
  <c r="M72" i="8"/>
  <c r="M71" i="8"/>
  <c r="M70" i="8"/>
  <c r="M69" i="8"/>
  <c r="M68" i="8"/>
  <c r="M67" i="8"/>
  <c r="M66" i="8"/>
  <c r="M65" i="8"/>
  <c r="M64" i="8"/>
  <c r="M63" i="8"/>
  <c r="M62" i="8"/>
  <c r="N63" i="8" s="1"/>
  <c r="M60" i="8"/>
  <c r="N61" i="8" s="1"/>
  <c r="M59" i="8"/>
  <c r="M58" i="8"/>
  <c r="M57" i="8"/>
  <c r="M56" i="8"/>
  <c r="M55" i="8"/>
  <c r="M54" i="8"/>
  <c r="M53" i="8"/>
  <c r="M52" i="8"/>
  <c r="M51" i="8"/>
  <c r="M50" i="8"/>
  <c r="M45" i="8"/>
  <c r="M44" i="8"/>
  <c r="M43" i="8"/>
  <c r="M42" i="8"/>
  <c r="M41" i="8"/>
  <c r="M40" i="8"/>
  <c r="M39" i="8"/>
  <c r="M38" i="8"/>
  <c r="M37" i="8"/>
  <c r="M36" i="8"/>
  <c r="M35" i="8"/>
  <c r="M34" i="8"/>
  <c r="M33" i="8"/>
  <c r="M32" i="8"/>
  <c r="M31" i="8"/>
  <c r="M30" i="8"/>
  <c r="M29" i="8"/>
  <c r="M28" i="8"/>
  <c r="M27" i="8"/>
  <c r="M26" i="8"/>
  <c r="M25" i="8"/>
  <c r="M24" i="8"/>
  <c r="M23" i="8"/>
  <c r="M22" i="8"/>
  <c r="M21" i="8"/>
  <c r="M20" i="8"/>
  <c r="M19" i="8"/>
  <c r="M18" i="8"/>
  <c r="M16" i="8"/>
  <c r="M15" i="8"/>
  <c r="M14" i="8"/>
  <c r="D13" i="8"/>
  <c r="M12" i="8"/>
  <c r="M11" i="8"/>
  <c r="M10" i="8"/>
  <c r="D10" i="8"/>
  <c r="M9" i="8"/>
  <c r="M8" i="8"/>
  <c r="M7" i="8"/>
  <c r="E7" i="8"/>
  <c r="D7" i="8"/>
  <c r="M6" i="8"/>
  <c r="M5" i="8"/>
  <c r="H80" i="7"/>
  <c r="J80" i="7" s="1"/>
  <c r="K80" i="7" s="1"/>
  <c r="H79" i="7"/>
  <c r="J79" i="7" s="1"/>
  <c r="K79" i="7" s="1"/>
  <c r="H78" i="7"/>
  <c r="I78" i="7" s="1"/>
  <c r="K77" i="7"/>
  <c r="K76" i="7"/>
  <c r="J75" i="7"/>
  <c r="I75" i="7"/>
  <c r="K75" i="7" s="1"/>
  <c r="G75" i="7"/>
  <c r="K74" i="7"/>
  <c r="J72" i="7"/>
  <c r="I72" i="7"/>
  <c r="K72" i="7" s="1"/>
  <c r="J71" i="7"/>
  <c r="I71" i="7"/>
  <c r="J70" i="7"/>
  <c r="I70" i="7"/>
  <c r="K70" i="7" s="1"/>
  <c r="J69" i="7"/>
  <c r="I69" i="7"/>
  <c r="I73" i="7" s="1"/>
  <c r="H73" i="7"/>
  <c r="K68" i="7"/>
  <c r="K67" i="7"/>
  <c r="K65" i="7"/>
  <c r="H63" i="7"/>
  <c r="J63" i="7" s="1"/>
  <c r="H62" i="7"/>
  <c r="J62" i="7" s="1"/>
  <c r="H61" i="7"/>
  <c r="J61" i="7" s="1"/>
  <c r="K60" i="7"/>
  <c r="K59" i="7"/>
  <c r="J57" i="7"/>
  <c r="I57" i="7"/>
  <c r="K57" i="7" s="1"/>
  <c r="H57" i="7"/>
  <c r="H56" i="7"/>
  <c r="H58" i="7" s="1"/>
  <c r="K55" i="7"/>
  <c r="K54" i="7"/>
  <c r="H52" i="7"/>
  <c r="J52" i="7" s="1"/>
  <c r="H51" i="7"/>
  <c r="J51" i="7" s="1"/>
  <c r="H50" i="7"/>
  <c r="J50" i="7" s="1"/>
  <c r="H49" i="7"/>
  <c r="J49" i="7" s="1"/>
  <c r="K48" i="7"/>
  <c r="K47" i="7"/>
  <c r="H45" i="7"/>
  <c r="J45" i="7" s="1"/>
  <c r="H44" i="7"/>
  <c r="I44" i="7" s="1"/>
  <c r="H43" i="7"/>
  <c r="K42" i="7"/>
  <c r="K41" i="7"/>
  <c r="H39" i="7"/>
  <c r="J39" i="7" s="1"/>
  <c r="H38" i="7"/>
  <c r="J38" i="7" s="1"/>
  <c r="H37" i="7"/>
  <c r="J37" i="7" s="1"/>
  <c r="J40" i="7" s="1"/>
  <c r="K36" i="7"/>
  <c r="K35" i="7"/>
  <c r="H33" i="7"/>
  <c r="H31" i="7"/>
  <c r="H30" i="7"/>
  <c r="H29" i="7"/>
  <c r="K28" i="7"/>
  <c r="K27" i="7"/>
  <c r="H25" i="7"/>
  <c r="H24" i="7"/>
  <c r="H23" i="7"/>
  <c r="J23" i="7" s="1"/>
  <c r="H22" i="7"/>
  <c r="K21" i="7"/>
  <c r="K20" i="7"/>
  <c r="K18" i="7"/>
  <c r="H17" i="7"/>
  <c r="J17" i="7" s="1"/>
  <c r="H16" i="7"/>
  <c r="J16" i="7" s="1"/>
  <c r="H15" i="7"/>
  <c r="I15" i="7" s="1"/>
  <c r="K15" i="7" s="1"/>
  <c r="H14" i="7"/>
  <c r="K14" i="7" s="1"/>
  <c r="H13" i="7"/>
  <c r="I13" i="7" s="1"/>
  <c r="K13" i="7" s="1"/>
  <c r="H12" i="7"/>
  <c r="I12" i="7" s="1"/>
  <c r="K12" i="7" s="1"/>
  <c r="H11" i="7"/>
  <c r="I11" i="7" s="1"/>
  <c r="K11" i="7" s="1"/>
  <c r="H10" i="7"/>
  <c r="I10" i="7" s="1"/>
  <c r="K10" i="7" s="1"/>
  <c r="H9" i="7"/>
  <c r="K8" i="7"/>
  <c r="K7" i="7"/>
  <c r="H5" i="7"/>
  <c r="I5" i="7" s="1"/>
  <c r="H4" i="7"/>
  <c r="I4" i="7" s="1"/>
  <c r="K4" i="7" s="1"/>
  <c r="H3" i="7"/>
  <c r="H6" i="7" s="1"/>
  <c r="D26" i="6"/>
  <c r="E23" i="6"/>
  <c r="F22" i="6"/>
  <c r="E19" i="6"/>
  <c r="D163" i="5"/>
  <c r="F163" i="5" s="1"/>
  <c r="F162" i="5"/>
  <c r="F161" i="5"/>
  <c r="F160" i="5"/>
  <c r="F159" i="5"/>
  <c r="D159" i="5"/>
  <c r="D157" i="5"/>
  <c r="F157" i="5" s="1"/>
  <c r="D156" i="5"/>
  <c r="F156" i="5" s="1"/>
  <c r="F154" i="5"/>
  <c r="D154" i="5"/>
  <c r="D153" i="5"/>
  <c r="F153" i="5" s="1"/>
  <c r="F152" i="5"/>
  <c r="D152" i="5"/>
  <c r="D151" i="5"/>
  <c r="F151" i="5" s="1"/>
  <c r="D150" i="5"/>
  <c r="F150" i="5" s="1"/>
  <c r="F145" i="5"/>
  <c r="F144" i="5"/>
  <c r="F142" i="5"/>
  <c r="F140" i="5"/>
  <c r="F139" i="5"/>
  <c r="D135" i="5"/>
  <c r="F135" i="5" s="1"/>
  <c r="D134" i="5"/>
  <c r="F134" i="5" s="1"/>
  <c r="D133" i="5"/>
  <c r="F133" i="5" s="1"/>
  <c r="D128" i="5"/>
  <c r="F128" i="5" s="1"/>
  <c r="F127" i="5"/>
  <c r="D126" i="5"/>
  <c r="F126" i="5" s="1"/>
  <c r="D125" i="5"/>
  <c r="F125" i="5" s="1"/>
  <c r="F124" i="5"/>
  <c r="F123" i="5"/>
  <c r="D122" i="5"/>
  <c r="F122" i="5" s="1"/>
  <c r="D121" i="5"/>
  <c r="F121" i="5" s="1"/>
  <c r="D119" i="5"/>
  <c r="F119" i="5" s="1"/>
  <c r="D117" i="5"/>
  <c r="F117" i="5" s="1"/>
  <c r="D115" i="5"/>
  <c r="F115" i="5" s="1"/>
  <c r="D114" i="5"/>
  <c r="F114" i="5" s="1"/>
  <c r="D113" i="5"/>
  <c r="F113" i="5" s="1"/>
  <c r="D111" i="5"/>
  <c r="F111" i="5" s="1"/>
  <c r="D110" i="5"/>
  <c r="F110" i="5" s="1"/>
  <c r="D108" i="5"/>
  <c r="F108" i="5" s="1"/>
  <c r="D106" i="5"/>
  <c r="F106" i="5" s="1"/>
  <c r="F104" i="5"/>
  <c r="F103" i="5"/>
  <c r="F102" i="5"/>
  <c r="F101" i="5"/>
  <c r="F100" i="5"/>
  <c r="F98" i="5"/>
  <c r="F97" i="5"/>
  <c r="F96" i="5"/>
  <c r="F95" i="5"/>
  <c r="F94" i="5"/>
  <c r="F92" i="5"/>
  <c r="F91" i="5"/>
  <c r="F89" i="5"/>
  <c r="F87" i="5"/>
  <c r="F86" i="5"/>
  <c r="F85" i="5"/>
  <c r="F83" i="5"/>
  <c r="F82" i="5"/>
  <c r="F81" i="5"/>
  <c r="F80" i="5"/>
  <c r="F75" i="5"/>
  <c r="D74" i="5"/>
  <c r="F74" i="5" s="1"/>
  <c r="F72" i="5"/>
  <c r="D72" i="5"/>
  <c r="D71" i="5"/>
  <c r="F71" i="5" s="1"/>
  <c r="D70" i="5"/>
  <c r="F70" i="5" s="1"/>
  <c r="D69" i="5"/>
  <c r="F69" i="5" s="1"/>
  <c r="D68" i="5"/>
  <c r="F68" i="5" s="1"/>
  <c r="F65" i="5"/>
  <c r="D64" i="5"/>
  <c r="F64" i="5" s="1"/>
  <c r="D63" i="5"/>
  <c r="F63" i="5" s="1"/>
  <c r="F62" i="5"/>
  <c r="D61" i="5"/>
  <c r="F61" i="5" s="1"/>
  <c r="F60" i="5"/>
  <c r="D57" i="5"/>
  <c r="F57" i="5" s="1"/>
  <c r="D56" i="5"/>
  <c r="F56" i="5" s="1"/>
  <c r="D55" i="5"/>
  <c r="F55" i="5" s="1"/>
  <c r="D52" i="5"/>
  <c r="F52" i="5" s="1"/>
  <c r="D51" i="5"/>
  <c r="F51" i="5" s="1"/>
  <c r="D50" i="5"/>
  <c r="F50" i="5" s="1"/>
  <c r="D49" i="5"/>
  <c r="F49" i="5" s="1"/>
  <c r="F46" i="5"/>
  <c r="F45" i="5"/>
  <c r="F44" i="5"/>
  <c r="F47" i="5" s="1"/>
  <c r="F37" i="5"/>
  <c r="F36" i="5"/>
  <c r="F35" i="5"/>
  <c r="F34" i="5"/>
  <c r="F32" i="5"/>
  <c r="F31" i="5"/>
  <c r="F30" i="5"/>
  <c r="F29" i="5"/>
  <c r="F27" i="5"/>
  <c r="F26" i="5"/>
  <c r="F21" i="5"/>
  <c r="F20" i="5"/>
  <c r="F18" i="5"/>
  <c r="F16" i="5"/>
  <c r="F15" i="5"/>
  <c r="F12" i="5"/>
  <c r="F11" i="5"/>
  <c r="F10" i="5"/>
  <c r="F5" i="5"/>
  <c r="F4" i="5"/>
  <c r="F3" i="5"/>
  <c r="F111" i="4"/>
  <c r="F107" i="4"/>
  <c r="F106" i="4"/>
  <c r="F105" i="4"/>
  <c r="F104" i="4"/>
  <c r="F103" i="4"/>
  <c r="F100" i="4"/>
  <c r="D100" i="4"/>
  <c r="D99" i="4"/>
  <c r="F99" i="4" s="1"/>
  <c r="F98" i="4"/>
  <c r="F97" i="4"/>
  <c r="D96" i="4"/>
  <c r="F96" i="4" s="1"/>
  <c r="F95" i="4"/>
  <c r="F94" i="4"/>
  <c r="F92" i="4"/>
  <c r="F91" i="4"/>
  <c r="F90" i="4"/>
  <c r="F89" i="4"/>
  <c r="F88" i="4"/>
  <c r="D87" i="4"/>
  <c r="F87" i="4" s="1"/>
  <c r="F86" i="4"/>
  <c r="F85" i="4"/>
  <c r="F84" i="4"/>
  <c r="F83" i="4"/>
  <c r="D83" i="4"/>
  <c r="D81" i="4"/>
  <c r="F81" i="4" s="1"/>
  <c r="F79" i="4"/>
  <c r="D79" i="4"/>
  <c r="D77" i="4"/>
  <c r="F77" i="4" s="1"/>
  <c r="F73" i="4"/>
  <c r="F71" i="4"/>
  <c r="F61" i="4"/>
  <c r="F60" i="4"/>
  <c r="F59" i="4"/>
  <c r="F58" i="4"/>
  <c r="F57" i="4"/>
  <c r="F56" i="4"/>
  <c r="F55" i="4"/>
  <c r="F54" i="4"/>
  <c r="F53" i="4"/>
  <c r="F52" i="4"/>
  <c r="F51" i="4"/>
  <c r="F50" i="4"/>
  <c r="F62" i="4" s="1"/>
  <c r="F47" i="4"/>
  <c r="F46" i="4"/>
  <c r="F45" i="4"/>
  <c r="F44" i="4"/>
  <c r="F43" i="4"/>
  <c r="F42" i="4"/>
  <c r="F41" i="4"/>
  <c r="F40" i="4"/>
  <c r="F39" i="4"/>
  <c r="F38" i="4"/>
  <c r="F37" i="4"/>
  <c r="F36" i="4"/>
  <c r="F35" i="4"/>
  <c r="F34" i="4"/>
  <c r="F33" i="4"/>
  <c r="F32" i="4"/>
  <c r="F31" i="4"/>
  <c r="F30" i="4"/>
  <c r="F29" i="4"/>
  <c r="F28" i="4"/>
  <c r="F48" i="4" s="1"/>
  <c r="F24" i="4"/>
  <c r="F23" i="4"/>
  <c r="F22" i="4"/>
  <c r="F21" i="4"/>
  <c r="F20" i="4"/>
  <c r="F19" i="4"/>
  <c r="F18" i="4"/>
  <c r="F17" i="4"/>
  <c r="F25" i="4" s="1"/>
  <c r="F16" i="4"/>
  <c r="F13" i="4"/>
  <c r="F12" i="4"/>
  <c r="F11" i="4"/>
  <c r="F14" i="4" s="1"/>
  <c r="F8" i="4"/>
  <c r="F7" i="4"/>
  <c r="F6" i="4"/>
  <c r="F5" i="4"/>
  <c r="F9" i="4" s="1"/>
  <c r="F63" i="4" s="1"/>
  <c r="F32" i="3"/>
  <c r="F31" i="3"/>
  <c r="F30" i="3"/>
  <c r="F29" i="3"/>
  <c r="F28" i="3"/>
  <c r="F27" i="3"/>
  <c r="F26" i="3"/>
  <c r="F25" i="3"/>
  <c r="F24" i="3"/>
  <c r="F23" i="3"/>
  <c r="F22" i="3"/>
  <c r="F21" i="3"/>
  <c r="F20" i="3"/>
  <c r="F19" i="3"/>
  <c r="F18" i="3"/>
  <c r="F17" i="3"/>
  <c r="F16" i="3"/>
  <c r="F15" i="3"/>
  <c r="F14" i="3"/>
  <c r="F13" i="3"/>
  <c r="F12" i="3"/>
  <c r="F11" i="3"/>
  <c r="F9" i="3"/>
  <c r="F8" i="3"/>
  <c r="F7" i="3"/>
  <c r="F6" i="3"/>
  <c r="F5" i="3"/>
  <c r="F4" i="3"/>
  <c r="F3" i="3"/>
  <c r="N99" i="8" l="1"/>
  <c r="N33" i="8"/>
  <c r="N18" i="8"/>
  <c r="N10" i="8"/>
  <c r="N59" i="8"/>
  <c r="N72" i="8"/>
  <c r="N50" i="8"/>
  <c r="N74" i="8"/>
  <c r="N114" i="8"/>
  <c r="N21" i="8"/>
  <c r="N25" i="8"/>
  <c r="N122" i="8"/>
  <c r="N79" i="8"/>
  <c r="N95" i="8"/>
  <c r="N40" i="8"/>
  <c r="N104" i="8"/>
  <c r="N118" i="8"/>
  <c r="I45" i="7"/>
  <c r="K45" i="7" s="1"/>
  <c r="J78" i="7"/>
  <c r="J81" i="7" s="1"/>
  <c r="H19" i="7"/>
  <c r="I3" i="7"/>
  <c r="I6" i="7" s="1"/>
  <c r="J44" i="7"/>
  <c r="K44" i="7" s="1"/>
  <c r="J3" i="7"/>
  <c r="H46" i="7"/>
  <c r="I43" i="7"/>
  <c r="K43" i="7" s="1"/>
  <c r="J73" i="7"/>
  <c r="J43" i="7"/>
  <c r="I56" i="7"/>
  <c r="I58" i="7" s="1"/>
  <c r="H81" i="7"/>
  <c r="J56" i="7"/>
  <c r="J58" i="7" s="1"/>
  <c r="K71" i="7"/>
  <c r="N86" i="8"/>
  <c r="N44" i="8"/>
  <c r="N109" i="8"/>
  <c r="N84" i="8"/>
  <c r="N29" i="8"/>
  <c r="N36" i="8"/>
  <c r="N69" i="8"/>
  <c r="N91" i="8"/>
  <c r="N124" i="8"/>
  <c r="N7" i="8"/>
  <c r="N55" i="8"/>
  <c r="N116" i="8"/>
  <c r="N13" i="8"/>
  <c r="H23" i="9"/>
  <c r="I12" i="9"/>
  <c r="I23" i="9" s="1"/>
  <c r="C18" i="6"/>
  <c r="F18" i="6" s="1"/>
  <c r="C17" i="6"/>
  <c r="B27" i="6"/>
  <c r="F21" i="6"/>
  <c r="E20" i="6"/>
  <c r="E24" i="6"/>
  <c r="N45" i="8"/>
  <c r="N100" i="8"/>
  <c r="N120" i="8"/>
  <c r="N30" i="8"/>
  <c r="N75" i="8"/>
  <c r="N110" i="8"/>
  <c r="K128" i="8"/>
  <c r="N14" i="8"/>
  <c r="N87" i="8"/>
  <c r="N65" i="8"/>
  <c r="F13" i="5"/>
  <c r="F38" i="5"/>
  <c r="F6" i="5"/>
  <c r="F146" i="5"/>
  <c r="F22" i="5"/>
  <c r="F33" i="5"/>
  <c r="F40" i="5" s="1"/>
  <c r="N4" i="8"/>
  <c r="M119" i="8"/>
  <c r="M128" i="8" s="1"/>
  <c r="J5" i="7"/>
  <c r="J6" i="7" s="1"/>
  <c r="K6" i="7" s="1"/>
  <c r="J26" i="7"/>
  <c r="K73" i="7"/>
  <c r="I34" i="7"/>
  <c r="J53" i="7"/>
  <c r="J64" i="7"/>
  <c r="I81" i="7"/>
  <c r="H26" i="7"/>
  <c r="I9" i="7"/>
  <c r="I23" i="7"/>
  <c r="K23" i="7" s="1"/>
  <c r="K24" i="7"/>
  <c r="K25" i="7"/>
  <c r="H40" i="7"/>
  <c r="H53" i="7"/>
  <c r="H64" i="7"/>
  <c r="J9" i="7"/>
  <c r="J19" i="7" s="1"/>
  <c r="I16" i="7"/>
  <c r="K16" i="7" s="1"/>
  <c r="I17" i="7"/>
  <c r="K17" i="7" s="1"/>
  <c r="H34" i="7"/>
  <c r="I37" i="7"/>
  <c r="I38" i="7"/>
  <c r="K38" i="7" s="1"/>
  <c r="I39" i="7"/>
  <c r="K39" i="7" s="1"/>
  <c r="I49" i="7"/>
  <c r="I50" i="7"/>
  <c r="K50" i="7" s="1"/>
  <c r="I51" i="7"/>
  <c r="K51" i="7" s="1"/>
  <c r="I52" i="7"/>
  <c r="K52" i="7" s="1"/>
  <c r="K56" i="7"/>
  <c r="I61" i="7"/>
  <c r="I62" i="7"/>
  <c r="K62" i="7" s="1"/>
  <c r="I63" i="7"/>
  <c r="K63" i="7" s="1"/>
  <c r="K69" i="7"/>
  <c r="E18" i="6"/>
  <c r="E22" i="6"/>
  <c r="F66" i="5"/>
  <c r="F76" i="5"/>
  <c r="F136" i="5"/>
  <c r="F129" i="5"/>
  <c r="F164" i="5"/>
  <c r="F108" i="4"/>
  <c r="F109" i="4" s="1"/>
  <c r="K3" i="7" l="1"/>
  <c r="K58" i="7"/>
  <c r="J34" i="7"/>
  <c r="J66" i="7" s="1"/>
  <c r="J82" i="7" s="1"/>
  <c r="I46" i="7"/>
  <c r="J46" i="7"/>
  <c r="K78" i="7"/>
  <c r="K5" i="7"/>
  <c r="C27" i="6"/>
  <c r="D17" i="6"/>
  <c r="F17" i="6" s="1"/>
  <c r="K49" i="7"/>
  <c r="I53" i="7"/>
  <c r="K53" i="7" s="1"/>
  <c r="I19" i="7"/>
  <c r="K19" i="7" s="1"/>
  <c r="K9" i="7"/>
  <c r="H66" i="7"/>
  <c r="H82" i="7" s="1"/>
  <c r="K81" i="7"/>
  <c r="I64" i="7"/>
  <c r="K61" i="7"/>
  <c r="I40" i="7"/>
  <c r="K40" i="7" s="1"/>
  <c r="K37" i="7"/>
  <c r="K22" i="7"/>
  <c r="I26" i="7"/>
  <c r="K26" i="7" s="1"/>
  <c r="F165" i="5"/>
  <c r="F167" i="5" s="1"/>
  <c r="K34" i="7" l="1"/>
  <c r="K46" i="7"/>
  <c r="E17" i="6"/>
  <c r="K64" i="7"/>
  <c r="I66" i="7"/>
  <c r="K66" i="7" l="1"/>
  <c r="I82" i="7"/>
  <c r="K82" i="7" s="1"/>
  <c r="E343" i="2" l="1"/>
</calcChain>
</file>

<file path=xl/sharedStrings.xml><?xml version="1.0" encoding="utf-8"?>
<sst xmlns="http://schemas.openxmlformats.org/spreadsheetml/2006/main" count="1709" uniqueCount="861">
  <si>
    <t>Category Summary by Proportion (%)</t>
  </si>
  <si>
    <t>GCF Budget Category</t>
  </si>
  <si>
    <t>GCF Funded</t>
  </si>
  <si>
    <t>Country</t>
  </si>
  <si>
    <t>Staff Cost</t>
  </si>
  <si>
    <t>Fuel, accommodation and per diem</t>
  </si>
  <si>
    <t>Training, workshop and conference</t>
  </si>
  <si>
    <t>Construction Cost</t>
  </si>
  <si>
    <t>Equipment Cost</t>
  </si>
  <si>
    <t>International Consultants</t>
  </si>
  <si>
    <t>National Consultants</t>
  </si>
  <si>
    <t>Service Provider</t>
  </si>
  <si>
    <t>National ministry staff and consultants (QA)</t>
  </si>
  <si>
    <t>Accredited Entity Fee</t>
  </si>
  <si>
    <t>Category Summary by Proportion ($)</t>
  </si>
  <si>
    <t>Total</t>
  </si>
  <si>
    <t>Components</t>
  </si>
  <si>
    <t>Outcomes</t>
  </si>
  <si>
    <t>Outputs and Activities</t>
  </si>
  <si>
    <t>Unit</t>
  </si>
  <si>
    <t>Number of units</t>
  </si>
  <si>
    <t>Unit Cost</t>
  </si>
  <si>
    <t>Total Cost</t>
  </si>
  <si>
    <t xml:space="preserve">GCF Contribution </t>
  </si>
  <si>
    <t>MOF Contribution</t>
  </si>
  <si>
    <t>Control</t>
  </si>
  <si>
    <t>Component 1: Community Resilience</t>
  </si>
  <si>
    <r>
      <t>Outcome 1a:</t>
    </r>
    <r>
      <rPr>
        <sz val="9"/>
        <color theme="1"/>
        <rFont val="Arial"/>
        <family val="2"/>
      </rPr>
      <t xml:space="preserve"> Increased resilience and enhanced livelihoods of vulnerable smallholder farmers &amp; pastoralists </t>
    </r>
  </si>
  <si>
    <t>Solar water pumps installed</t>
  </si>
  <si>
    <t>1.1.1</t>
  </si>
  <si>
    <t>Rehabilitation of wells and testing of water quality</t>
  </si>
  <si>
    <t>Number</t>
  </si>
  <si>
    <t>1.1.2</t>
  </si>
  <si>
    <t>Procurement and installation of Solar PV's, submersible pumps and irrigation systems</t>
  </si>
  <si>
    <t>1.1.3</t>
  </si>
  <si>
    <t>Operations and Maintenance of Solar Water Pump and Water Supply Infrastructure</t>
  </si>
  <si>
    <t>Per year</t>
  </si>
  <si>
    <t>Output Total</t>
  </si>
  <si>
    <t>Efficient water distribution points constructed for households, irrigation and livestock</t>
  </si>
  <si>
    <t>1.2.1</t>
  </si>
  <si>
    <t>Construction of pipe network, irrigation infrastructure and point collection facilities</t>
  </si>
  <si>
    <t>1.2.1.1</t>
  </si>
  <si>
    <t>Conduct a detailed site survey to plan the pipe network and irrigation infrastructure layout.</t>
  </si>
  <si>
    <t>1.2.1.2</t>
  </si>
  <si>
    <t>Procure and transport necessary materials, such as pipes, fittings, valves, control systems, and construction equipment (40.8 Kms of main's and 66.7 submain pipelines and associated fittings, 52 water points and 42 cattle troughs)</t>
  </si>
  <si>
    <t>1.2.1.3</t>
  </si>
  <si>
    <t>Excavate and prepare the trenches for laying the pipe network and irrigation pipelines.</t>
  </si>
  <si>
    <t>1.2.1.4</t>
  </si>
  <si>
    <t xml:space="preserve"> Install and connect the pipe networks and pipelines with pumps, control systems, reservoirs for efficient water distribution.</t>
  </si>
  <si>
    <t>1.2.1.5</t>
  </si>
  <si>
    <t>Test and commission the installed irrigation infrastructure and pipe networks for proper operation.</t>
  </si>
  <si>
    <t>1.2.2</t>
  </si>
  <si>
    <t>Install smart water meters to monitor usage.</t>
  </si>
  <si>
    <t>1.2.3</t>
  </si>
  <si>
    <t>Design and refine payment tariff for community water supply payments.</t>
  </si>
  <si>
    <r>
      <t>Outcome 1b:</t>
    </r>
    <r>
      <rPr>
        <sz val="9"/>
        <color theme="1"/>
        <rFont val="Arial"/>
        <family val="2"/>
      </rPr>
      <t xml:space="preserve"> Increased community access to safe water in drought prone regions.</t>
    </r>
  </si>
  <si>
    <t>1.2.4</t>
  </si>
  <si>
    <t>Operation and Maintenance manual of water supply infrastructure</t>
  </si>
  <si>
    <t>Gender sensitive IUAs/Water Use Associations established and capacitated</t>
  </si>
  <si>
    <t>1.3.1</t>
  </si>
  <si>
    <t>Facilitate the formation of IUAs/WUAs with a focus on gender inclusivity.</t>
  </si>
  <si>
    <t>1.3.2</t>
  </si>
  <si>
    <t>Draft and approve by-laws mandating minimum participation levels for women.</t>
  </si>
  <si>
    <t>1.3.3</t>
  </si>
  <si>
    <t>Develop and implement training programs for IUA/WUA members.</t>
  </si>
  <si>
    <t>1.3.4</t>
  </si>
  <si>
    <t>Provide ongoing operational support and technical assistance to IUAs/WUAs.</t>
  </si>
  <si>
    <t>1.4: Small scale revolving fund facility established</t>
  </si>
  <si>
    <t>1.4.1</t>
  </si>
  <si>
    <t>Establish and/or strengthen IUAs/WUAs.</t>
  </si>
  <si>
    <t>1.4.2</t>
  </si>
  <si>
    <t>Provide training to IUAs/WUAs members on financial literacy.</t>
  </si>
  <si>
    <t>1.4.3</t>
  </si>
  <si>
    <t>Define revolving fund terms, including repayment schedules.</t>
  </si>
  <si>
    <t>1.4.4</t>
  </si>
  <si>
    <t>Establish Revolving fund</t>
  </si>
  <si>
    <t>1.4.5</t>
  </si>
  <si>
    <t>Develop a revolving fund management and administration guideline/manual.</t>
  </si>
  <si>
    <t>Component 2: Enabiling Envrionment</t>
  </si>
  <si>
    <r>
      <t>Outcome 2:</t>
    </r>
    <r>
      <rPr>
        <sz val="9"/>
        <color theme="1"/>
        <rFont val="Arial"/>
        <family val="2"/>
      </rPr>
      <t xml:space="preserve"> Improved enabling environment for implementing and scaling solar based, sustainable water supply systems.</t>
    </r>
  </si>
  <si>
    <t>Regulations, policies and guidelines created and or strengthened towards building adaptive capacity</t>
  </si>
  <si>
    <t>2.1.1</t>
  </si>
  <si>
    <t>Develop and implement/strengthen robust national and regional licensing and regulatory frameworks for groundwater abstraction and use.</t>
  </si>
  <si>
    <t>2.1.2</t>
  </si>
  <si>
    <t>Implement the use of digital water meters to measure groundwater extraction at each borehole.</t>
  </si>
  <si>
    <t>2.1.3</t>
  </si>
  <si>
    <t>Update and strengthen technical quality benchmarks or standards for SWP technologies, including energy efficiency standards for submersible pumps and solar PV systems.</t>
  </si>
  <si>
    <t>Digital MRV, and payment system established</t>
  </si>
  <si>
    <t>2.2.1</t>
  </si>
  <si>
    <t>Design and develop digital MRV platform.</t>
  </si>
  <si>
    <t>2.2.2</t>
  </si>
  <si>
    <t>Support the integration of digital MRV system with the national MRV framework.</t>
  </si>
  <si>
    <t>2.2.3</t>
  </si>
  <si>
    <t>Develop training material for the digital MRV system and conduct training sessions for government officials, IUAs, and local communities.</t>
  </si>
  <si>
    <t>Gender sensitive business models and financial instruments identified</t>
  </si>
  <si>
    <t>2.3.1</t>
  </si>
  <si>
    <t>Identify gender-specific needs and barriers in current business models and financial instruments.</t>
  </si>
  <si>
    <t>2.3.2</t>
  </si>
  <si>
    <t>Develop business models that consider local gender roles in agriculture and water use.</t>
  </si>
  <si>
    <t>2.3.3</t>
  </si>
  <si>
    <t>Conduct training programs on gender-sensitive business models and financial instruments.</t>
  </si>
  <si>
    <t>2.3.4</t>
  </si>
  <si>
    <t>Conduct workshops and training sessions for IUAs, and local communities.</t>
  </si>
  <si>
    <t xml:space="preserve">Local technicians trained on O&amp;M of SWP and irrigation systems </t>
  </si>
  <si>
    <t>2.4.1</t>
  </si>
  <si>
    <t>Conduct a needs assessment to identify the specific skills required for O&amp;M of SWP and irrigation systems.</t>
  </si>
  <si>
    <t>2.4.2</t>
  </si>
  <si>
    <t>Organize training workshops in collaboration with the academia and regional bureaus.</t>
  </si>
  <si>
    <t xml:space="preserve">Knowledge sharing and coordination platform established </t>
  </si>
  <si>
    <t>2.5.1</t>
  </si>
  <si>
    <t>Identify key stakeholders and conduct a comprehensive needs assessment to identify gaps in knowledge sharing and coordination.</t>
  </si>
  <si>
    <t>2.5.2</t>
  </si>
  <si>
    <t>Develop knowledge management and dissemination strategy.</t>
  </si>
  <si>
    <t>2.5.3</t>
  </si>
  <si>
    <t>Design and develop the online knowledge-sharing and coordination platform.</t>
  </si>
  <si>
    <t>Project Total</t>
  </si>
  <si>
    <t xml:space="preserve">Project Management </t>
  </si>
  <si>
    <t xml:space="preserve">National ministry staff and consultants </t>
  </si>
  <si>
    <t>Regional and Woreda project staff</t>
  </si>
  <si>
    <t>per year</t>
  </si>
  <si>
    <t>Utilities</t>
  </si>
  <si>
    <t>Transportation</t>
  </si>
  <si>
    <t>Gender Action plan</t>
  </si>
  <si>
    <t>Lumpsum</t>
  </si>
  <si>
    <t>Monitoring and Evaluaiton</t>
  </si>
  <si>
    <t>Quarterly project monitoring and supervison</t>
  </si>
  <si>
    <t>Quarterly</t>
  </si>
  <si>
    <t>Mid-term evaluation</t>
  </si>
  <si>
    <t>Terminal Evaluation</t>
  </si>
  <si>
    <t>Grand Total</t>
  </si>
  <si>
    <t>PMC Breakdown</t>
  </si>
  <si>
    <t>Table 1: staff and consultants costs</t>
  </si>
  <si>
    <t>Budget Item Description</t>
  </si>
  <si>
    <t>Contribution</t>
  </si>
  <si>
    <t>Unit cost (USD) per year</t>
  </si>
  <si>
    <t>Quantity per year</t>
  </si>
  <si>
    <t>Frequency in years</t>
  </si>
  <si>
    <t xml:space="preserve">GCF </t>
  </si>
  <si>
    <t>MOF</t>
  </si>
  <si>
    <t>Federal Level</t>
  </si>
  <si>
    <t xml:space="preserve">National ministry staff </t>
  </si>
  <si>
    <t xml:space="preserve">Conslutants </t>
  </si>
  <si>
    <t>Sub total (USD)</t>
  </si>
  <si>
    <t>Regional and Woreda level</t>
  </si>
  <si>
    <t>Regional Project Coordinator</t>
  </si>
  <si>
    <t>Woreda project Officer</t>
  </si>
  <si>
    <t>Table 2: Utilities and Transportation</t>
  </si>
  <si>
    <t xml:space="preserve">Internet and telephone </t>
  </si>
  <si>
    <t>Woreda</t>
  </si>
  <si>
    <t>Region</t>
  </si>
  <si>
    <t>Transportation for Regional staff</t>
  </si>
  <si>
    <t xml:space="preserve">Region </t>
  </si>
  <si>
    <t>Transportation for Woreda Staff</t>
  </si>
  <si>
    <t xml:space="preserve">Total </t>
  </si>
  <si>
    <t>Task</t>
  </si>
  <si>
    <t>Funding Source</t>
  </si>
  <si>
    <t>Budget Account</t>
  </si>
  <si>
    <t>Timeline</t>
  </si>
  <si>
    <t>GCF</t>
  </si>
  <si>
    <t>Total US$</t>
  </si>
  <si>
    <t>CHECK</t>
  </si>
  <si>
    <t>Year I</t>
  </si>
  <si>
    <t>Year II</t>
  </si>
  <si>
    <t>Year III</t>
  </si>
  <si>
    <t>Year IV</t>
  </si>
  <si>
    <t>Year V</t>
  </si>
  <si>
    <t>Year VI</t>
  </si>
  <si>
    <t>Year VII</t>
  </si>
  <si>
    <t>Component 1: Increased community resilience through sustainable access to clean water</t>
  </si>
  <si>
    <r>
      <t>Output 1.1</t>
    </r>
    <r>
      <rPr>
        <b/>
        <i/>
        <u/>
        <sz val="10"/>
        <color rgb="FF01797E"/>
        <rFont val="Franklin Gothic Book"/>
        <family val="2"/>
      </rPr>
      <t xml:space="preserve"> - Solar water pumps installed</t>
    </r>
  </si>
  <si>
    <t>Activity 1.1.1 : Rehabilitation of 100 borehole holes and laboratory test of water chemistry</t>
  </si>
  <si>
    <t>Fuel, accomodation and perdiem</t>
  </si>
  <si>
    <t>Activity 1.1.2: Procurement and installation of Solar PV's, submersible pumps and irrigation systems</t>
  </si>
  <si>
    <t>Activity 1.1.3: Operations and Maintenance of Solar Water Pump and Water Supply Infrastructure</t>
  </si>
  <si>
    <r>
      <t>Output 1.2</t>
    </r>
    <r>
      <rPr>
        <b/>
        <i/>
        <u/>
        <sz val="10"/>
        <color rgb="FF01797E"/>
        <rFont val="Franklin Gothic Book"/>
        <family val="2"/>
      </rPr>
      <t xml:space="preserve"> - Efficient water distribution points constructed for households, irrigation and livestock</t>
    </r>
  </si>
  <si>
    <t xml:space="preserve">Activity 1.2.1: Construction of pipe network, irrigation infrastructure and point collection facilities </t>
  </si>
  <si>
    <t>Activity 1.2.2: Install smart water meters to monitor usage</t>
  </si>
  <si>
    <t>Activity 1.2.3: Design and refine payment tariff for community water supply payments.</t>
  </si>
  <si>
    <t>Sub-activity 1.2.4: Operation and Maintenance manual of water supply infrastructure</t>
  </si>
  <si>
    <r>
      <t xml:space="preserve">Output 1.3 </t>
    </r>
    <r>
      <rPr>
        <b/>
        <i/>
        <u/>
        <sz val="10"/>
        <color rgb="FF01797E"/>
        <rFont val="Franklin Gothic Book"/>
        <family val="2"/>
      </rPr>
      <t>- Gender sensitive IUAs/Water Use Associations established and capacitated</t>
    </r>
  </si>
  <si>
    <t>Activity 1.3.1: Facilitate the formation of IUAs/WUAs with a focus on gender inclusivity.</t>
  </si>
  <si>
    <t>Activity 1.3.2: Draft and approve by-laws mandating minimum participation levels for women.</t>
  </si>
  <si>
    <t>Activity 1.3.3: Develop and implement training programs for IUA/WUA members.</t>
  </si>
  <si>
    <t>Activity 1.3.4: Provide ongoing operational support and technical assistance to IUAs/WUAs.</t>
  </si>
  <si>
    <r>
      <t xml:space="preserve">Output 1.4 </t>
    </r>
    <r>
      <rPr>
        <b/>
        <i/>
        <u/>
        <sz val="10"/>
        <color rgb="FF01797E"/>
        <rFont val="Franklin Gothic Book"/>
        <family val="2"/>
      </rPr>
      <t>- Small scale revolving fund facility established</t>
    </r>
  </si>
  <si>
    <t>Activity 1.4.1: Establish and/or strengthen IUAs/WUAs.</t>
  </si>
  <si>
    <t>Activity 1.4.2: Provide training to IUAs/WUAs members on financial literacy</t>
  </si>
  <si>
    <t>Activity 1.4.3: Define revolving fund terms, including repayment schedules.</t>
  </si>
  <si>
    <t>Activity 1.4.4: Revolving fund</t>
  </si>
  <si>
    <t>Activity 1.4.5: Develop a revolving fund management and administration guideline/manual.</t>
  </si>
  <si>
    <t>Component 2: Enabling environment</t>
  </si>
  <si>
    <r>
      <t>Output 2.1</t>
    </r>
    <r>
      <rPr>
        <b/>
        <i/>
        <u/>
        <sz val="10"/>
        <color rgb="FF01797E"/>
        <rFont val="Franklin Gothic Book"/>
        <family val="2"/>
      </rPr>
      <t xml:space="preserve"> – Regulations, policies and guidelines created and or strengthened towards building adaptive capacity</t>
    </r>
  </si>
  <si>
    <t>Activity 2.1.1: Identify, develop and implement solutions to close policy and regulatory gaps and needs (e.g., on minimum technology performance standards, access to finance)</t>
  </si>
  <si>
    <t>Activity 2.1.2: Implement the use of digital water meters to measure groundwater extraction at each borehole.</t>
  </si>
  <si>
    <t>Activity 2.1.3: Update and strengthen technical quality benchmarks or standards for SWP technologies, including energy efficiency standards for submersible pumps and solar PV systems.</t>
  </si>
  <si>
    <r>
      <t>Output 2.2</t>
    </r>
    <r>
      <rPr>
        <b/>
        <i/>
        <u/>
        <sz val="10"/>
        <color rgb="FF01797E"/>
        <rFont val="Franklin Gothic Book"/>
        <family val="2"/>
      </rPr>
      <t xml:space="preserve"> - Digital MRV and payment system established</t>
    </r>
  </si>
  <si>
    <t>Activity 2.2.1: Develop and implement/strengthen robust national and regional licensing and regulatory frameworks for groundwater abstraction and use.</t>
  </si>
  <si>
    <t>Activity 2.2.2: Implement the use of digital water meters to measure groundwater extraction at each borehole.</t>
  </si>
  <si>
    <t>Activity 2.2.3: Develop training material for the digital MRV system and conduct training sessions for government officials, IUAs, and local communities.</t>
  </si>
  <si>
    <r>
      <t>Output 2.3</t>
    </r>
    <r>
      <rPr>
        <b/>
        <i/>
        <u/>
        <sz val="10"/>
        <color rgb="FF01797E"/>
        <rFont val="Franklin Gothic Book"/>
        <family val="2"/>
      </rPr>
      <t xml:space="preserve"> - Gender sensitive business models and financial instruments identified</t>
    </r>
  </si>
  <si>
    <t>Activity 2.3.1: Identify gender-specific needs and barriers in current business models and financial instruments.</t>
  </si>
  <si>
    <t>Activity 2.3.2: Develop business models that consider local gender roles in agriculture and water use.</t>
  </si>
  <si>
    <t>Activity 2.3.3: Conduct training programs on gender-sensitive business models and financial instruments.</t>
  </si>
  <si>
    <t>Activity 2.3.4: Conduct workshops and training sessions for IUAs, and local communities.</t>
  </si>
  <si>
    <r>
      <t>Output 2.4</t>
    </r>
    <r>
      <rPr>
        <b/>
        <i/>
        <u/>
        <sz val="10"/>
        <color rgb="FF01797E"/>
        <rFont val="Franklin Gothic Book"/>
        <family val="2"/>
      </rPr>
      <t xml:space="preserve"> - Local technicians trained on O&amp;M of SWP and irrigation systems </t>
    </r>
  </si>
  <si>
    <t>Activity 2.4.1: Conduct a needs assessment to identify the specific skills required for O&amp;M of SWP and irrigation systems.</t>
  </si>
  <si>
    <t>Activity 2.4.2: Organize training workshops in collaboration with the academia and regional bureaus.</t>
  </si>
  <si>
    <r>
      <t>Output 2.5</t>
    </r>
    <r>
      <rPr>
        <b/>
        <i/>
        <u/>
        <sz val="10"/>
        <color rgb="FF01797E"/>
        <rFont val="Franklin Gothic Book"/>
        <family val="2"/>
      </rPr>
      <t xml:space="preserve"> - Knowledge sharing and coordination platform established </t>
    </r>
  </si>
  <si>
    <t>Activity 2.5.1: Identify key stakeholders and conduct a comprehensive needs assessment to identify gaps in knowledge sharing and coordination.</t>
  </si>
  <si>
    <t>Activity 2.5.2: Develop knowledge management and dissemination strategy.</t>
  </si>
  <si>
    <t>Activity 2.5.3: Design and develop the online knowledge-sharing and coordination platform.</t>
  </si>
  <si>
    <t>Sub-Total</t>
  </si>
  <si>
    <t>Quality Assurance</t>
  </si>
  <si>
    <t>Gender Action Plan (GAP)</t>
  </si>
  <si>
    <t>National ministry staff and consultants</t>
  </si>
  <si>
    <t xml:space="preserve">Monitoring and Evaluation (M&amp;E) </t>
  </si>
  <si>
    <t>Management, field supervision and project delivery</t>
  </si>
  <si>
    <t>Borehole rehabilitation and inspection</t>
  </si>
  <si>
    <t>Item</t>
  </si>
  <si>
    <t>Description</t>
  </si>
  <si>
    <t xml:space="preserve">Unit </t>
  </si>
  <si>
    <t>Qty.</t>
  </si>
  <si>
    <t>Rate (US$)</t>
  </si>
  <si>
    <t>Total Amount (US$)</t>
  </si>
  <si>
    <t>GENERAL</t>
  </si>
  <si>
    <t>1.1.</t>
  </si>
  <si>
    <t xml:space="preserve">Mobilization </t>
  </si>
  <si>
    <t>L.S</t>
  </si>
  <si>
    <t>Intersite Mobilization</t>
  </si>
  <si>
    <t>Demobilization</t>
  </si>
  <si>
    <t>REHABILITATION OF PRODUCTION WELLS</t>
  </si>
  <si>
    <t xml:space="preserve">Surging by Surge block </t>
  </si>
  <si>
    <t>Hour</t>
  </si>
  <si>
    <t xml:space="preserve">Air surging, lifting and air pumping </t>
  </si>
  <si>
    <t>High velocity Jetting</t>
  </si>
  <si>
    <t>Install submersible pump provided by the Client</t>
  </si>
  <si>
    <t>Nr.</t>
  </si>
  <si>
    <t xml:space="preserve">WELL INSPECTION </t>
  </si>
  <si>
    <t xml:space="preserve">Inspect the well with video camera before commencement and after  completion of the rehabilitation  </t>
  </si>
  <si>
    <r>
      <t>PUMPING TEST</t>
    </r>
    <r>
      <rPr>
        <sz val="9"/>
        <color theme="1"/>
        <rFont val="Franklin Gothic Book"/>
        <family val="2"/>
      </rPr>
      <t xml:space="preserve"> </t>
    </r>
  </si>
  <si>
    <t xml:space="preserve">Preliminary pumping test on the drilled well </t>
  </si>
  <si>
    <t>Hr</t>
  </si>
  <si>
    <t>Conduct step draw down test</t>
  </si>
  <si>
    <t>Conduct continuous pumping test and monitoring on pumped well and 4 wells near by</t>
  </si>
  <si>
    <t xml:space="preserve">Monitoring recovery </t>
  </si>
  <si>
    <t>Well head cover</t>
  </si>
  <si>
    <t>No</t>
  </si>
  <si>
    <t>Grand Total Kobo Girana and Borena</t>
  </si>
  <si>
    <t>Product Description</t>
  </si>
  <si>
    <t>Qty</t>
  </si>
  <si>
    <t>Price</t>
  </si>
  <si>
    <t>Submersible Pump, Motor, Controllers and Solar PV Module</t>
  </si>
  <si>
    <t>1. PE C-SJ75-4, Rp 5"</t>
  </si>
  <si>
    <t>Pc.</t>
  </si>
  <si>
    <t>Item Code: 14-000700</t>
  </si>
  <si>
    <t>Multi-stage Centrifugal Pump End, non-return valve</t>
  </si>
  <si>
    <t>2. PE C-SJ120-3, Rp 6"</t>
  </si>
  <si>
    <t>Item Code: 14-008450</t>
  </si>
  <si>
    <t>3. PE C-SJ95-7, Rp 5"</t>
  </si>
  <si>
    <t>Item Code: 14-008390</t>
  </si>
  <si>
    <t>4. PE C-SJ150-4-1, Rp 6"</t>
  </si>
  <si>
    <t>Item Code: 14-008670</t>
  </si>
  <si>
    <t>5. PE C-SJ75-12, Rp 5"</t>
  </si>
  <si>
    <t>Item Code: 14-008650</t>
  </si>
  <si>
    <t>6. PE C-SJ150-5-1, Rp 6"</t>
  </si>
  <si>
    <t>Item Code: 14-008680</t>
  </si>
  <si>
    <t>7. PE C-SJ75-15, Rp 5"</t>
  </si>
  <si>
    <t>Item Code: 14-008660</t>
  </si>
  <si>
    <t>8. PE C-SJ150-7-2, Rp 6"</t>
  </si>
  <si>
    <t>Item Code: 14-008530</t>
  </si>
  <si>
    <t>9. AC Drive Sub 6" 15kW-380V-3ph-50Hz</t>
  </si>
  <si>
    <t>Item Code: 18-000070</t>
  </si>
  <si>
    <t>Submersible AC DRIVE, water filled 6", three phase</t>
  </si>
  <si>
    <r>
      <t xml:space="preserve">10 </t>
    </r>
    <r>
      <rPr>
        <b/>
        <sz val="11"/>
        <color rgb="FF000000"/>
        <rFont val="Franklin Gothic Book"/>
        <family val="2"/>
      </rPr>
      <t>AC Drive Sub 6" 30kW-380V-3ph-50Hz</t>
    </r>
  </si>
  <si>
    <t>Item Code: 18-000072</t>
  </si>
  <si>
    <r>
      <t xml:space="preserve">11 </t>
    </r>
    <r>
      <rPr>
        <b/>
        <sz val="11"/>
        <color rgb="FF000000"/>
        <rFont val="Franklin Gothic Book"/>
        <family val="2"/>
      </rPr>
      <t>AC Drive Sub 8" 45kW 380V-3ph-50Hz</t>
    </r>
  </si>
  <si>
    <t>Item Code: 18-000350</t>
  </si>
  <si>
    <t>Submersible AC DRIVE, water filled 8", three phase</t>
  </si>
  <si>
    <t>12. AC Drive Sub 8" 55kW 380V-3ph-50Hz</t>
  </si>
  <si>
    <t>Item Code: 18-000360</t>
  </si>
  <si>
    <r>
      <t xml:space="preserve">13 </t>
    </r>
    <r>
      <rPr>
        <b/>
        <sz val="11"/>
        <color rgb="FF000000"/>
        <rFont val="Franklin Gothic Book"/>
        <family val="2"/>
      </rPr>
      <t>AC Drive Sub 8" 75kW 380V-3ph-50Hz</t>
    </r>
  </si>
  <si>
    <t>Item Code: 18-000190</t>
  </si>
  <si>
    <r>
      <t xml:space="preserve">14 </t>
    </r>
    <r>
      <rPr>
        <b/>
        <sz val="11"/>
        <color rgb="FF000000"/>
        <rFont val="Franklin Gothic Book"/>
        <family val="2"/>
      </rPr>
      <t>PSk2-21 Controller-15kVA-D</t>
    </r>
  </si>
  <si>
    <t>Item Code: 09-000180</t>
  </si>
  <si>
    <t>Pump Controller, for Solar (PV) operation</t>
  </si>
  <si>
    <r>
      <t xml:space="preserve">15 </t>
    </r>
    <r>
      <rPr>
        <b/>
        <sz val="11"/>
        <color rgb="FF000000"/>
        <rFont val="Franklin Gothic Book"/>
        <family val="2"/>
      </rPr>
      <t>PSk2-40 Controller-30kVA-D</t>
    </r>
  </si>
  <si>
    <t>Item Code: 09-000200</t>
  </si>
  <si>
    <r>
      <t xml:space="preserve">16 </t>
    </r>
    <r>
      <rPr>
        <b/>
        <sz val="11"/>
        <color rgb="FF000000"/>
        <rFont val="Franklin Gothic Book"/>
        <family val="2"/>
      </rPr>
      <t>PSK2-60 Controller-45kVA-D</t>
    </r>
  </si>
  <si>
    <t>Item Code: 09-000230</t>
  </si>
  <si>
    <r>
      <t xml:space="preserve">17 </t>
    </r>
    <r>
      <rPr>
        <b/>
        <sz val="11"/>
        <color rgb="FF000000"/>
        <rFont val="Franklin Gothic Book"/>
        <family val="2"/>
      </rPr>
      <t>PSK2-70 Controller-55kVA-D</t>
    </r>
  </si>
  <si>
    <t>Item Code: 09-000240</t>
  </si>
  <si>
    <r>
      <t xml:space="preserve">18 </t>
    </r>
    <r>
      <rPr>
        <b/>
        <sz val="11"/>
        <color rgb="FF000000"/>
        <rFont val="Franklin Gothic Book"/>
        <family val="2"/>
      </rPr>
      <t>PSK2-100 Controller-75kVA-D</t>
    </r>
  </si>
  <si>
    <t>Item Code: 09-000220</t>
  </si>
  <si>
    <r>
      <t xml:space="preserve">19 </t>
    </r>
    <r>
      <rPr>
        <b/>
        <sz val="11"/>
        <color rgb="FF000000"/>
        <rFont val="Franklin Gothic Book"/>
        <family val="2"/>
      </rPr>
      <t>PV Disconnect 1000-50-5</t>
    </r>
  </si>
  <si>
    <t>Item Code: 19-001965</t>
  </si>
  <si>
    <r>
      <t xml:space="preserve">20 </t>
    </r>
    <r>
      <rPr>
        <b/>
        <sz val="11"/>
        <color rgb="FF000000"/>
        <rFont val="Franklin Gothic Book"/>
        <family val="2"/>
      </rPr>
      <t>PV Combiner 1000-125-4</t>
    </r>
  </si>
  <si>
    <t>Item Code: 19-000122</t>
  </si>
  <si>
    <t>Connection box for parallel wiring 1000VDC/125A, max. 4 strings, plastic box, IP68</t>
  </si>
  <si>
    <r>
      <t xml:space="preserve">21 </t>
    </r>
    <r>
      <rPr>
        <b/>
        <sz val="11"/>
        <color rgb="FF000000"/>
        <rFont val="Franklin Gothic Book"/>
        <family val="2"/>
      </rPr>
      <t>PV Protect 1000-125</t>
    </r>
  </si>
  <si>
    <t>Item Code: 19-001970</t>
  </si>
  <si>
    <t>Surge Protective Device for PV Systems, 1000VDC/125A, plastic box, IP68</t>
  </si>
  <si>
    <r>
      <t xml:space="preserve">22 </t>
    </r>
    <r>
      <rPr>
        <b/>
        <sz val="11"/>
        <color rgb="FF000000"/>
        <rFont val="Franklin Gothic Book"/>
        <family val="2"/>
      </rPr>
      <t>PV Disconnect 1000-300-30</t>
    </r>
  </si>
  <si>
    <t>Set</t>
  </si>
  <si>
    <t>Item Code: 19-000113</t>
  </si>
  <si>
    <t>PV Disconnect switch 1000VDC/ 300A, max. 30 strings, IP54 , internal surge protection</t>
  </si>
  <si>
    <r>
      <t xml:space="preserve">23 </t>
    </r>
    <r>
      <rPr>
        <b/>
        <sz val="11"/>
        <color rgb="FF000000"/>
        <rFont val="Franklin Gothic Book"/>
        <family val="2"/>
      </rPr>
      <t>Well probe sensor V2</t>
    </r>
  </si>
  <si>
    <t>Item Code: 19-000005</t>
  </si>
  <si>
    <t>Water level sensor for dry run protection. POM protection enclosure, max. 5 bar</t>
  </si>
  <si>
    <r>
      <t xml:space="preserve">24 </t>
    </r>
    <r>
      <rPr>
        <b/>
        <sz val="11"/>
        <color rgb="FF000000"/>
        <rFont val="Franklin Gothic Book"/>
        <family val="2"/>
      </rPr>
      <t>Cable splice kit 6-10sqmm</t>
    </r>
  </si>
  <si>
    <t>Item Code: 19-000020</t>
  </si>
  <si>
    <t>Submersible cable splice kit for ECDRIVE, 6 to 10sqmm</t>
  </si>
  <si>
    <r>
      <t xml:space="preserve">25 </t>
    </r>
    <r>
      <rPr>
        <b/>
        <sz val="11"/>
        <color rgb="FF000000"/>
        <rFont val="Franklin Gothic Book"/>
        <family val="2"/>
      </rPr>
      <t>Surge Protector 2</t>
    </r>
  </si>
  <si>
    <t>Item Code: 19-005210</t>
  </si>
  <si>
    <r>
      <t xml:space="preserve">26 </t>
    </r>
    <r>
      <rPr>
        <b/>
        <sz val="11"/>
        <color rgb="FF000000"/>
        <rFont val="Franklin Gothic Book"/>
        <family val="2"/>
      </rPr>
      <t>Liquid Pressure Sensor, LPS-1000</t>
    </r>
  </si>
  <si>
    <t>Item Code: 19-004460</t>
  </si>
  <si>
    <t>0-1000kPa, AISI304, G1/2", 4..20mA, 11-28VDC, 0.5%FS</t>
  </si>
  <si>
    <r>
      <t xml:space="preserve">27 </t>
    </r>
    <r>
      <rPr>
        <b/>
        <sz val="11"/>
        <color rgb="FF000000"/>
        <rFont val="Franklin Gothic Book"/>
        <family val="2"/>
      </rPr>
      <t>Pump wire, 3x6sqmm &amp; 1x4sqmm, round</t>
    </r>
  </si>
  <si>
    <t>m</t>
  </si>
  <si>
    <t>Item Code: 19-000620</t>
  </si>
  <si>
    <r>
      <t xml:space="preserve">28 </t>
    </r>
    <r>
      <rPr>
        <b/>
        <sz val="11"/>
        <color rgb="FF000000"/>
        <rFont val="Franklin Gothic Book"/>
        <family val="2"/>
      </rPr>
      <t>Pump wire, 3x16sqmm &amp; 1x6sqmm,  round</t>
    </r>
  </si>
  <si>
    <t>Item Code: 19-000680</t>
  </si>
  <si>
    <r>
      <t xml:space="preserve">29 </t>
    </r>
    <r>
      <rPr>
        <b/>
        <sz val="11"/>
        <color rgb="FF000000"/>
        <rFont val="Franklin Gothic Book"/>
        <family val="2"/>
      </rPr>
      <t>Pump Wire, 3x25sqmm &amp; 1x10sqmm,  round</t>
    </r>
  </si>
  <si>
    <t>Item Code: 19-000692</t>
  </si>
  <si>
    <r>
      <t xml:space="preserve">30 </t>
    </r>
    <r>
      <rPr>
        <b/>
        <sz val="11"/>
        <color rgb="FF000000"/>
        <rFont val="Franklin Gothic Book"/>
        <family val="2"/>
      </rPr>
      <t>Pump wire, 3x35sqmm &amp; 1x 10sqmm, round</t>
    </r>
  </si>
  <si>
    <t>Item Code: 19-001700</t>
  </si>
  <si>
    <r>
      <t xml:space="preserve">31 </t>
    </r>
    <r>
      <rPr>
        <b/>
        <sz val="11"/>
        <color rgb="FF000000"/>
        <rFont val="Franklin Gothic Book"/>
        <family val="2"/>
      </rPr>
      <t>Pump wire, 3x50sqmm &amp; 1x 16sqmm, round</t>
    </r>
  </si>
  <si>
    <t>Item Code: 19-001710</t>
  </si>
  <si>
    <t>32. Pump wire, 3x70sqmm &amp; 1x 25sqmm, round</t>
  </si>
  <si>
    <t>Item Code: 19-000695</t>
  </si>
  <si>
    <t>33 LC540-M144, 540 W PV-Module</t>
  </si>
  <si>
    <t>Item Code: 23-000620</t>
  </si>
  <si>
    <t>Photo Voltaic Module, Mono Crystalline, junction box, cable</t>
  </si>
  <si>
    <t>Spare parts</t>
  </si>
  <si>
    <t>34. PSk2-40, mainboard</t>
  </si>
  <si>
    <t>Item Code: 35-102960</t>
  </si>
  <si>
    <t>35. PSk2-xx, IO board, blue door</t>
  </si>
  <si>
    <t>Item Code: 35-102970</t>
  </si>
  <si>
    <t>36. Cooling Fan kit for PSK2(gray and blue door)</t>
  </si>
  <si>
    <t>Item Code: 35-101115</t>
  </si>
  <si>
    <t>Cooling Fan kit for PSK2(gray and blue door)</t>
  </si>
  <si>
    <t>37. IGBT-Replacement Kit (PM150CL1A120), for PSk2-21 to PSk240</t>
  </si>
  <si>
    <t>Item Code: 35-103064</t>
  </si>
  <si>
    <t>38. PSk2-100, mainboard</t>
  </si>
  <si>
    <t>Item Code: 35-002710</t>
  </si>
  <si>
    <t>39. PSk2-xx, IO board, blue door</t>
  </si>
  <si>
    <t>40. Cooling Fan kit 24cm, 28cm, 39cm, 24VDC, for PSK2-100k</t>
  </si>
  <si>
    <t>Item Code: 35-002760</t>
  </si>
  <si>
    <t>41. Fan Assembly,External Fan Assembly, PSk2-100k</t>
  </si>
  <si>
    <t>Item Code: 35-002770</t>
  </si>
  <si>
    <t>42. PSk2-60/70/100, PWM Board</t>
  </si>
  <si>
    <t>Item Code: 35-002720</t>
  </si>
  <si>
    <t>Kobo Girana - Sub Total US$</t>
  </si>
  <si>
    <t>1. PE C-SJ17-7, Rp 2 1/2"</t>
  </si>
  <si>
    <t>Item Code: 14-000375</t>
  </si>
  <si>
    <t>2. PE C-SJ8-30, 6", RP2"</t>
  </si>
  <si>
    <t>Item Code: 14-000255</t>
  </si>
  <si>
    <t>3. PE C-SJ17-9,  Rp 2 1/2"</t>
  </si>
  <si>
    <t>Item Code: 14-000800</t>
  </si>
  <si>
    <t>4. PE C-SJ17-11, Rp 2 1/2"</t>
  </si>
  <si>
    <t>Item Code: 14-000380</t>
  </si>
  <si>
    <t>5. PE C-SJ30-12, Rp 3"</t>
  </si>
  <si>
    <t>Item Code: 14-000480</t>
  </si>
  <si>
    <t>6. PE C-SJ75-4, Rp 5"</t>
  </si>
  <si>
    <t>7. PE C-SJ17-26, Rp 2 1/2"</t>
  </si>
  <si>
    <t>Item Code: 14-000415</t>
  </si>
  <si>
    <t>8. PE C-SJ30-22, Rp 3"</t>
  </si>
  <si>
    <t>Item Code: 14-000515</t>
  </si>
  <si>
    <t>9. PE C-SJ30-35, Rc3"</t>
  </si>
  <si>
    <t>Item Code: 14-008510</t>
  </si>
  <si>
    <r>
      <t xml:space="preserve">10 </t>
    </r>
    <r>
      <rPr>
        <b/>
        <sz val="11"/>
        <color rgb="FF000000"/>
        <rFont val="Franklin Gothic Book"/>
        <family val="2"/>
      </rPr>
      <t>PE C-SJ42-19, Rp 3"</t>
    </r>
  </si>
  <si>
    <t>Item Code: 14-008370</t>
  </si>
  <si>
    <r>
      <t xml:space="preserve">11 </t>
    </r>
    <r>
      <rPr>
        <b/>
        <sz val="11"/>
        <color rgb="FF000000"/>
        <rFont val="Franklin Gothic Book"/>
        <family val="2"/>
      </rPr>
      <t>PE C-SJ75-12, Rp 5"</t>
    </r>
  </si>
  <si>
    <t>12 PE C-SJ75-15, Rp 5"</t>
  </si>
  <si>
    <r>
      <t xml:space="preserve">13 </t>
    </r>
    <r>
      <rPr>
        <b/>
        <sz val="11"/>
        <color rgb="FF000000"/>
        <rFont val="Franklin Gothic Book"/>
        <family val="2"/>
      </rPr>
      <t>PE C-SJ120-8, Rp 6"</t>
    </r>
  </si>
  <si>
    <t>Item Code: 14-008550</t>
  </si>
  <si>
    <r>
      <t xml:space="preserve">14 </t>
    </r>
    <r>
      <rPr>
        <b/>
        <sz val="11"/>
        <color rgb="FF000000"/>
        <rFont val="Franklin Gothic Book"/>
        <family val="2"/>
      </rPr>
      <t>PE C-SJ150-7-2, Rp 6"</t>
    </r>
  </si>
  <si>
    <r>
      <t xml:space="preserve">15 </t>
    </r>
    <r>
      <rPr>
        <b/>
        <sz val="11"/>
        <color rgb="FF000000"/>
        <rFont val="Franklin Gothic Book"/>
        <family val="2"/>
      </rPr>
      <t>PE C-SJ95-17, Rp 5"</t>
    </r>
  </si>
  <si>
    <t>Item Code: 14-008540</t>
  </si>
  <si>
    <r>
      <t xml:space="preserve">16 </t>
    </r>
    <r>
      <rPr>
        <b/>
        <sz val="11"/>
        <color rgb="FF000000"/>
        <rFont val="Franklin Gothic Book"/>
        <family val="2"/>
      </rPr>
      <t>AC Drive Sub 6" 5.5kW-380V-3ph-50Hz</t>
    </r>
  </si>
  <si>
    <t>Item Code: 18-000040</t>
  </si>
  <si>
    <r>
      <t xml:space="preserve">17 </t>
    </r>
    <r>
      <rPr>
        <b/>
        <sz val="11"/>
        <color rgb="FF000000"/>
        <rFont val="Franklin Gothic Book"/>
        <family val="2"/>
      </rPr>
      <t>AC Drive Sub 6" 11kW-380V-3ph-50Hz</t>
    </r>
  </si>
  <si>
    <t>Item Code: 18-000060</t>
  </si>
  <si>
    <r>
      <t xml:space="preserve">18 </t>
    </r>
    <r>
      <rPr>
        <b/>
        <sz val="11"/>
        <color rgb="FF000000"/>
        <rFont val="Franklin Gothic Book"/>
        <family val="2"/>
      </rPr>
      <t>AC Drive Sub 6" 15kW-380V-3ph-50Hz</t>
    </r>
  </si>
  <si>
    <r>
      <t xml:space="preserve">19 </t>
    </r>
    <r>
      <rPr>
        <b/>
        <sz val="11"/>
        <color rgb="FF000000"/>
        <rFont val="Franklin Gothic Book"/>
        <family val="2"/>
      </rPr>
      <t>AC Drive Sub 6" 18.5kW-380V-3ph-50Hz</t>
    </r>
  </si>
  <si>
    <t>Item Code: 18-000071</t>
  </si>
  <si>
    <r>
      <t xml:space="preserve">20 </t>
    </r>
    <r>
      <rPr>
        <b/>
        <sz val="11"/>
        <color rgb="FF000000"/>
        <rFont val="Franklin Gothic Book"/>
        <family val="2"/>
      </rPr>
      <t>AC Drive Sub 6" 30kW-380V-3ph-50Hz</t>
    </r>
  </si>
  <si>
    <r>
      <t xml:space="preserve">21 </t>
    </r>
    <r>
      <rPr>
        <b/>
        <sz val="11"/>
        <color rgb="FF000000"/>
        <rFont val="Franklin Gothic Book"/>
        <family val="2"/>
      </rPr>
      <t>AC Drive Sub 8" 45kW 380V-3ph-50Hz</t>
    </r>
  </si>
  <si>
    <r>
      <t xml:space="preserve">22 </t>
    </r>
    <r>
      <rPr>
        <b/>
        <sz val="11"/>
        <color rgb="FF000000"/>
        <rFont val="Franklin Gothic Book"/>
        <family val="2"/>
      </rPr>
      <t>AC Drive Sub 8" 55kW 380V-3ph-50Hz</t>
    </r>
  </si>
  <si>
    <r>
      <t xml:space="preserve">23 </t>
    </r>
    <r>
      <rPr>
        <b/>
        <sz val="11"/>
        <color rgb="FF000000"/>
        <rFont val="Franklin Gothic Book"/>
        <family val="2"/>
      </rPr>
      <t>AC Drive Sub 8" 75kW 380V-3ph-50Hz</t>
    </r>
  </si>
  <si>
    <r>
      <t xml:space="preserve">24 </t>
    </r>
    <r>
      <rPr>
        <b/>
        <sz val="11"/>
        <color rgb="FF000000"/>
        <rFont val="Franklin Gothic Book"/>
        <family val="2"/>
      </rPr>
      <t>PSk3-7 Controller-5.5kW</t>
    </r>
  </si>
  <si>
    <t>Item Code: 09-000260</t>
  </si>
  <si>
    <r>
      <t xml:space="preserve">25 </t>
    </r>
    <r>
      <rPr>
        <b/>
        <sz val="11"/>
        <color rgb="FF000000"/>
        <rFont val="Franklin Gothic Book"/>
        <family val="2"/>
      </rPr>
      <t>PSk3-15 Controller-11kW</t>
    </r>
  </si>
  <si>
    <t>Item Code: 09-000250</t>
  </si>
  <si>
    <r>
      <t xml:space="preserve">26 </t>
    </r>
    <r>
      <rPr>
        <b/>
        <sz val="11"/>
        <color rgb="FF000000"/>
        <rFont val="Franklin Gothic Book"/>
        <family val="2"/>
      </rPr>
      <t>PSk2-21 Controller-15kVA-D</t>
    </r>
  </si>
  <si>
    <r>
      <t xml:space="preserve">27 </t>
    </r>
    <r>
      <rPr>
        <b/>
        <sz val="11"/>
        <color rgb="FF000000"/>
        <rFont val="Franklin Gothic Book"/>
        <family val="2"/>
      </rPr>
      <t>PSk2-25 Controller-18.5kVA-D</t>
    </r>
  </si>
  <si>
    <t>Item Code: 09-000190</t>
  </si>
  <si>
    <t>28 PSk2-40 Controller-30kVA-D</t>
  </si>
  <si>
    <r>
      <t xml:space="preserve">29 </t>
    </r>
    <r>
      <rPr>
        <b/>
        <sz val="11"/>
        <color rgb="FF000000"/>
        <rFont val="Franklin Gothic Book"/>
        <family val="2"/>
      </rPr>
      <t>PSK2-60 Controller-45kVA-D</t>
    </r>
  </si>
  <si>
    <r>
      <t xml:space="preserve">30 </t>
    </r>
    <r>
      <rPr>
        <b/>
        <sz val="11"/>
        <color rgb="FF000000"/>
        <rFont val="Franklin Gothic Book"/>
        <family val="2"/>
      </rPr>
      <t>PSK2-70 Controller-55kVA-D</t>
    </r>
  </si>
  <si>
    <r>
      <t xml:space="preserve">31 </t>
    </r>
    <r>
      <rPr>
        <b/>
        <sz val="11"/>
        <color rgb="FF000000"/>
        <rFont val="Franklin Gothic Book"/>
        <family val="2"/>
      </rPr>
      <t>PSK2-100 Controller-75kVA-D</t>
    </r>
  </si>
  <si>
    <t>32. PV Disconnect 1000-50-5</t>
  </si>
  <si>
    <r>
      <t xml:space="preserve">33 </t>
    </r>
    <r>
      <rPr>
        <b/>
        <sz val="11"/>
        <color rgb="FF000000"/>
        <rFont val="Franklin Gothic Book"/>
        <family val="2"/>
      </rPr>
      <t>PV Combiner 1000-125-4</t>
    </r>
  </si>
  <si>
    <r>
      <t xml:space="preserve">34 </t>
    </r>
    <r>
      <rPr>
        <b/>
        <sz val="11"/>
        <color rgb="FF000000"/>
        <rFont val="Franklin Gothic Book"/>
        <family val="2"/>
      </rPr>
      <t>PV Protect 1000-125</t>
    </r>
  </si>
  <si>
    <r>
      <t xml:space="preserve">35 </t>
    </r>
    <r>
      <rPr>
        <b/>
        <sz val="11"/>
        <color rgb="FF000000"/>
        <rFont val="Franklin Gothic Book"/>
        <family val="2"/>
      </rPr>
      <t>PV Disconnect 1000-300-30</t>
    </r>
  </si>
  <si>
    <r>
      <t xml:space="preserve">36 </t>
    </r>
    <r>
      <rPr>
        <b/>
        <sz val="11"/>
        <color rgb="FF000000"/>
        <rFont val="Franklin Gothic Book"/>
        <family val="2"/>
      </rPr>
      <t>Well probe sensor V2</t>
    </r>
  </si>
  <si>
    <r>
      <t xml:space="preserve">37 </t>
    </r>
    <r>
      <rPr>
        <b/>
        <sz val="11"/>
        <color rgb="FF000000"/>
        <rFont val="Franklin Gothic Book"/>
        <family val="2"/>
      </rPr>
      <t>Cable splice kit 6-10sqmm</t>
    </r>
  </si>
  <si>
    <r>
      <t xml:space="preserve">38 </t>
    </r>
    <r>
      <rPr>
        <b/>
        <sz val="11"/>
        <color rgb="FF000000"/>
        <rFont val="Franklin Gothic Book"/>
        <family val="2"/>
      </rPr>
      <t>Surge Protector 2</t>
    </r>
  </si>
  <si>
    <r>
      <t xml:space="preserve">39 </t>
    </r>
    <r>
      <rPr>
        <b/>
        <sz val="11"/>
        <color rgb="FF000000"/>
        <rFont val="Franklin Gothic Book"/>
        <family val="2"/>
      </rPr>
      <t>Liquid Pressure Sensor, LPS-1000</t>
    </r>
  </si>
  <si>
    <r>
      <t xml:space="preserve">40 </t>
    </r>
    <r>
      <rPr>
        <b/>
        <sz val="11"/>
        <color rgb="FF000000"/>
        <rFont val="Franklin Gothic Book"/>
        <family val="2"/>
      </rPr>
      <t>Pump wire, 3x6sqmm &amp; 1x4sqmm, round</t>
    </r>
  </si>
  <si>
    <r>
      <t xml:space="preserve">41 </t>
    </r>
    <r>
      <rPr>
        <b/>
        <sz val="11"/>
        <color rgb="FF000000"/>
        <rFont val="Franklin Gothic Book"/>
        <family val="2"/>
      </rPr>
      <t>Pump wire, 3x8sqmm &amp; 1x4sqmm,  round</t>
    </r>
  </si>
  <si>
    <t>Item Code: 19-000640</t>
  </si>
  <si>
    <r>
      <t xml:space="preserve">42 </t>
    </r>
    <r>
      <rPr>
        <b/>
        <sz val="11"/>
        <color rgb="FF000000"/>
        <rFont val="Franklin Gothic Book"/>
        <family val="2"/>
      </rPr>
      <t>Pump wire, 3x10sqmm &amp; 1x6sqmm,  round</t>
    </r>
  </si>
  <si>
    <t>Item Code: 19-000660</t>
  </si>
  <si>
    <r>
      <t xml:space="preserve">43 </t>
    </r>
    <r>
      <rPr>
        <b/>
        <sz val="11"/>
        <color rgb="FF000000"/>
        <rFont val="Franklin Gothic Book"/>
        <family val="2"/>
      </rPr>
      <t>Pump wire, 3x16sqmm &amp; 1x6sqmm,  round</t>
    </r>
  </si>
  <si>
    <r>
      <t xml:space="preserve">44 </t>
    </r>
    <r>
      <rPr>
        <b/>
        <sz val="11"/>
        <color rgb="FF000000"/>
        <rFont val="Franklin Gothic Book"/>
        <family val="2"/>
      </rPr>
      <t>Pump Wire, 3x25sqmm &amp; 1x10sqmm,  round</t>
    </r>
  </si>
  <si>
    <r>
      <t xml:space="preserve">45 </t>
    </r>
    <r>
      <rPr>
        <b/>
        <sz val="11"/>
        <color rgb="FF000000"/>
        <rFont val="Franklin Gothic Book"/>
        <family val="2"/>
      </rPr>
      <t>Pump wire, 3x50sqmm &amp; 1x 16sqmm, round</t>
    </r>
  </si>
  <si>
    <r>
      <t xml:space="preserve">46 </t>
    </r>
    <r>
      <rPr>
        <b/>
        <sz val="11"/>
        <color rgb="FF000000"/>
        <rFont val="Franklin Gothic Book"/>
        <family val="2"/>
      </rPr>
      <t>Pump wire, 3x70sqmm &amp; 1x 25sqmm, round</t>
    </r>
  </si>
  <si>
    <r>
      <t xml:space="preserve">47 </t>
    </r>
    <r>
      <rPr>
        <b/>
        <sz val="11"/>
        <color rgb="FF000000"/>
        <rFont val="Franklin Gothic Book"/>
        <family val="2"/>
      </rPr>
      <t>Pump wire, 3x95sqmm &amp; 1x 35sqmm, round</t>
    </r>
  </si>
  <si>
    <t>Item Code: 19-001720</t>
  </si>
  <si>
    <r>
      <t xml:space="preserve">48 </t>
    </r>
    <r>
      <rPr>
        <b/>
        <sz val="11"/>
        <color rgb="FF000000"/>
        <rFont val="Franklin Gothic Book"/>
        <family val="2"/>
      </rPr>
      <t>Pump wire, 3x120sqmm &amp; 1x 70sqmm, round</t>
    </r>
  </si>
  <si>
    <t>Item Code: 29-000010</t>
  </si>
  <si>
    <r>
      <t xml:space="preserve">49 </t>
    </r>
    <r>
      <rPr>
        <b/>
        <sz val="11"/>
        <color rgb="FF000000"/>
        <rFont val="Franklin Gothic Book"/>
        <family val="2"/>
      </rPr>
      <t>LC540-M144, 540 W PV-Module</t>
    </r>
  </si>
  <si>
    <t>Booster pump, Controllers and Pressure sensor</t>
  </si>
  <si>
    <t>50 PU40K CS-F85-40, 4"</t>
  </si>
  <si>
    <t>Item Code: 10-008190</t>
  </si>
  <si>
    <t>Surface Pump Unit, Multi-stage Centrifugal, 380VAC-30kW-50Hz</t>
  </si>
  <si>
    <t>51 PSk2-40 Controller-30kVA-D</t>
  </si>
  <si>
    <t>52 PV Disconnect 1000-50-5</t>
  </si>
  <si>
    <t>53 PV Combiner 1000-125-4</t>
  </si>
  <si>
    <t>54 PV Protect 1000-125</t>
  </si>
  <si>
    <t>55 Surge Protector 2</t>
  </si>
  <si>
    <t>56 Liquid Pressure Sensor, LPS-1000</t>
  </si>
  <si>
    <t>57 Water sensor, pipe inst.</t>
  </si>
  <si>
    <t>Item Code: 19-000001</t>
  </si>
  <si>
    <t>Water sensor w. 2 electrodes for pipeline installation wo. weld adaptor</t>
  </si>
  <si>
    <t>58 Steel adaptor</t>
  </si>
  <si>
    <t>Item Code: 19-000003</t>
  </si>
  <si>
    <t>Steel adaptor for water sensor</t>
  </si>
  <si>
    <r>
      <t xml:space="preserve">59 </t>
    </r>
    <r>
      <rPr>
        <b/>
        <sz val="11"/>
        <color rgb="FF000000"/>
        <rFont val="Arial"/>
        <family val="2"/>
      </rPr>
      <t>Float Switch</t>
    </r>
  </si>
  <si>
    <t>Item Code: 19-000030</t>
  </si>
  <si>
    <t>Float Switch for tank, 2m cable, change-over switch function</t>
  </si>
  <si>
    <t>60 ontrol board, PSk3-7</t>
  </si>
  <si>
    <t>Item Code: 35-005240</t>
  </si>
  <si>
    <t>Control board (green), including cables for PSk3-7</t>
  </si>
  <si>
    <t>61 IO board, PSk3-7/15</t>
  </si>
  <si>
    <t>Item Code: 35-005260</t>
  </si>
  <si>
    <t>IO board (blue), including cables for PSk3-7/15</t>
  </si>
  <si>
    <t>62 Power board, PSk3-7/15</t>
  </si>
  <si>
    <t>Item Code: 35-005270</t>
  </si>
  <si>
    <t>Power board (red), including cables for PSk3-7/15</t>
  </si>
  <si>
    <r>
      <t xml:space="preserve">63 </t>
    </r>
    <r>
      <rPr>
        <b/>
        <sz val="11"/>
        <color rgb="FF000000"/>
        <rFont val="Franklin Gothic Book"/>
        <family val="2"/>
      </rPr>
      <t>IGBT kit, PSk3-7/15</t>
    </r>
  </si>
  <si>
    <t>Item Code: 35-005280</t>
  </si>
  <si>
    <t>IGBT module with thermal paste for PSk3-7/15</t>
  </si>
  <si>
    <r>
      <t xml:space="preserve">64 </t>
    </r>
    <r>
      <rPr>
        <b/>
        <sz val="11"/>
        <color rgb="FF000000"/>
        <rFont val="Franklin Gothic Book"/>
        <family val="2"/>
      </rPr>
      <t>Cooling kit, PSk3-7/15</t>
    </r>
  </si>
  <si>
    <t>Item Code: 35-005290</t>
  </si>
  <si>
    <t>External fan, including cables for PSk3-7/15</t>
  </si>
  <si>
    <r>
      <t xml:space="preserve">65 </t>
    </r>
    <r>
      <rPr>
        <b/>
        <sz val="11"/>
        <color rgb="FF000000"/>
        <rFont val="Franklin Gothic Book"/>
        <family val="2"/>
      </rPr>
      <t>Control board, PSk3-15</t>
    </r>
  </si>
  <si>
    <t>Item Code: 35-005250</t>
  </si>
  <si>
    <t>Control board (green), including cables for PSk3-15</t>
  </si>
  <si>
    <r>
      <t xml:space="preserve">66 </t>
    </r>
    <r>
      <rPr>
        <b/>
        <sz val="11"/>
        <color rgb="FF000000"/>
        <rFont val="Franklin Gothic Book"/>
        <family val="2"/>
      </rPr>
      <t>IO board, PSk3-7/15</t>
    </r>
  </si>
  <si>
    <r>
      <t xml:space="preserve">67 </t>
    </r>
    <r>
      <rPr>
        <b/>
        <sz val="11"/>
        <color rgb="FF000000"/>
        <rFont val="Franklin Gothic Book"/>
        <family val="2"/>
      </rPr>
      <t>Power board, PSk3-7/15</t>
    </r>
  </si>
  <si>
    <r>
      <t xml:space="preserve">68 </t>
    </r>
    <r>
      <rPr>
        <b/>
        <sz val="11"/>
        <color rgb="FF000000"/>
        <rFont val="Franklin Gothic Book"/>
        <family val="2"/>
      </rPr>
      <t>IGBT kit, PSk3-7/15</t>
    </r>
  </si>
  <si>
    <r>
      <t xml:space="preserve">69 </t>
    </r>
    <r>
      <rPr>
        <b/>
        <sz val="11"/>
        <color rgb="FF000000"/>
        <rFont val="Franklin Gothic Book"/>
        <family val="2"/>
      </rPr>
      <t>Cooling kit, PSk3-7/15</t>
    </r>
  </si>
  <si>
    <r>
      <t xml:space="preserve">70 </t>
    </r>
    <r>
      <rPr>
        <b/>
        <sz val="11"/>
        <color rgb="FF000000"/>
        <rFont val="Franklin Gothic Book"/>
        <family val="2"/>
      </rPr>
      <t>PSk2-xx, IO board, blue door</t>
    </r>
  </si>
  <si>
    <r>
      <t xml:space="preserve">71 </t>
    </r>
    <r>
      <rPr>
        <b/>
        <sz val="11"/>
        <color rgb="FF000000"/>
        <rFont val="Franklin Gothic Book"/>
        <family val="2"/>
      </rPr>
      <t>Cooling Fan kit for PSK2(gray and blue door)</t>
    </r>
  </si>
  <si>
    <r>
      <t xml:space="preserve">72 </t>
    </r>
    <r>
      <rPr>
        <b/>
        <sz val="11"/>
        <color rgb="FF000000"/>
        <rFont val="Franklin Gothic Book"/>
        <family val="2"/>
      </rPr>
      <t>PSk2-21, mainboard</t>
    </r>
  </si>
  <si>
    <t>Item Code: 35-102940</t>
  </si>
  <si>
    <r>
      <t xml:space="preserve">73 </t>
    </r>
    <r>
      <rPr>
        <b/>
        <sz val="11"/>
        <color rgb="FF000000"/>
        <rFont val="Franklin Gothic Book"/>
        <family val="2"/>
      </rPr>
      <t>PSk2-25, mainboard</t>
    </r>
  </si>
  <si>
    <t>Item Code: 35-102950</t>
  </si>
  <si>
    <r>
      <t xml:space="preserve">74 </t>
    </r>
    <r>
      <rPr>
        <b/>
        <sz val="11"/>
        <color rgb="FF000000"/>
        <rFont val="Franklin Gothic Book"/>
        <family val="2"/>
      </rPr>
      <t>PSk2-xx, SmartPSUk2, power supply 24V</t>
    </r>
  </si>
  <si>
    <t>Item Code: 35-103050</t>
  </si>
  <si>
    <r>
      <t xml:space="preserve">75 </t>
    </r>
    <r>
      <rPr>
        <b/>
        <sz val="11"/>
        <color rgb="FF000000"/>
        <rFont val="Franklin Gothic Book"/>
        <family val="2"/>
      </rPr>
      <t>PSk2-40, mainboard</t>
    </r>
  </si>
  <si>
    <r>
      <t xml:space="preserve">76 </t>
    </r>
    <r>
      <rPr>
        <b/>
        <sz val="11"/>
        <color rgb="FF000000"/>
        <rFont val="Franklin Gothic Book"/>
        <family val="2"/>
      </rPr>
      <t>PSk2-xx, IO board, blue door</t>
    </r>
  </si>
  <si>
    <r>
      <t xml:space="preserve">77 </t>
    </r>
    <r>
      <rPr>
        <b/>
        <sz val="11"/>
        <color rgb="FF000000"/>
        <rFont val="Franklin Gothic Book"/>
        <family val="2"/>
      </rPr>
      <t>Cooling Fan kit for PSK2(gray and blue door)</t>
    </r>
  </si>
  <si>
    <t>78 IGBT-Replacement Kit (PM150CL1A120), for PSk2-21 to PSk2- 40</t>
  </si>
  <si>
    <r>
      <t xml:space="preserve">79 </t>
    </r>
    <r>
      <rPr>
        <b/>
        <sz val="11"/>
        <color rgb="FF000000"/>
        <rFont val="Franklin Gothic Book"/>
        <family val="2"/>
      </rPr>
      <t>PSk2-100, mainboard</t>
    </r>
  </si>
  <si>
    <r>
      <t xml:space="preserve">80 </t>
    </r>
    <r>
      <rPr>
        <b/>
        <sz val="11"/>
        <color rgb="FF000000"/>
        <rFont val="Franklin Gothic Book"/>
        <family val="2"/>
      </rPr>
      <t>PSk2-xx, IO board, blue door</t>
    </r>
  </si>
  <si>
    <t>81. Cooling Fan kit 24cm, 28cm, 39cm, 24VDC, for PSK2-100k</t>
  </si>
  <si>
    <t>Borena - Sub Total US$</t>
  </si>
  <si>
    <t xml:space="preserve"> Kobo Girana and Borena Grand Total US$</t>
  </si>
  <si>
    <t>1.2.1.1: Conduct a detailed site survey to plan the pipe network and irrigation infrastructure layout.</t>
  </si>
  <si>
    <t>Quantity</t>
  </si>
  <si>
    <t xml:space="preserve"> Unit Price (US$) </t>
  </si>
  <si>
    <t xml:space="preserve"> Total Price (US$) </t>
  </si>
  <si>
    <r>
      <rPr>
        <b/>
        <sz val="11"/>
        <color theme="1"/>
        <rFont val="Aptos Narrow"/>
        <scheme val="minor"/>
      </rPr>
      <t xml:space="preserve">National consulting firm: </t>
    </r>
    <r>
      <rPr>
        <sz val="11"/>
        <color theme="1"/>
        <rFont val="Aptos Narrow"/>
        <family val="2"/>
        <scheme val="minor"/>
      </rPr>
      <t>Surveyor's and Agronomists</t>
    </r>
  </si>
  <si>
    <r>
      <rPr>
        <b/>
        <sz val="11"/>
        <color theme="1"/>
        <rFont val="Aptos Narrow"/>
        <scheme val="minor"/>
      </rPr>
      <t>International consulting firm:</t>
    </r>
    <r>
      <rPr>
        <sz val="11"/>
        <color theme="1"/>
        <rFont val="Aptos Narrow"/>
        <family val="2"/>
        <scheme val="minor"/>
      </rPr>
      <t xml:space="preserve"> Civil Eng., Irrigation Specialists, Geo-Technical Eng., Electrical Eng., and GIS Specialist</t>
    </r>
  </si>
  <si>
    <t>Fuel cost</t>
  </si>
  <si>
    <t>Lts</t>
  </si>
  <si>
    <t>Accomodation</t>
  </si>
  <si>
    <t>days</t>
  </si>
  <si>
    <t>Perdiem to national consultants</t>
  </si>
  <si>
    <t>S.No</t>
  </si>
  <si>
    <t>Conductors and accessories</t>
  </si>
  <si>
    <t>Hydrostatic water level sensor</t>
  </si>
  <si>
    <t>Pcs</t>
  </si>
  <si>
    <t>Stainless steel level electrode for wells and bore hole</t>
  </si>
  <si>
    <t>Bore hole support plate DN350, PN10</t>
  </si>
  <si>
    <t>Electric cable from pump to control inverter(3x95mm2+50mm2)</t>
  </si>
  <si>
    <t>Electric cable from pv module to control inverter(3x95mm2+50mm2)</t>
  </si>
  <si>
    <r>
      <t xml:space="preserve">Earthing Material (pure Copper) </t>
    </r>
    <r>
      <rPr>
        <sz val="11"/>
        <color rgb="FF000000"/>
        <rFont val="Franklin Gothic Book"/>
        <family val="2"/>
      </rPr>
      <t>Earthing rod made of copper, length 1.5meter, Diameter 16mm</t>
    </r>
    <r>
      <rPr>
        <vertAlign val="superscript"/>
        <sz val="11"/>
        <color rgb="FF000000"/>
        <rFont val="Franklin Gothic Book"/>
        <family val="2"/>
      </rPr>
      <t>2</t>
    </r>
    <r>
      <rPr>
        <sz val="11"/>
        <color rgb="FF000000"/>
        <rFont val="Franklin Gothic Book"/>
        <family val="2"/>
      </rPr>
      <t xml:space="preserve">. </t>
    </r>
  </si>
  <si>
    <t xml:space="preserve">       Pc</t>
  </si>
  <si>
    <t>Array stand for required PV modules (Concrete)  and aluminum  support structure for required PV modules</t>
  </si>
  <si>
    <t>LS</t>
  </si>
  <si>
    <t xml:space="preserve">Supply and installation of pipes and fittings </t>
  </si>
  <si>
    <t>Trench excavation (1x0.8x920)</t>
  </si>
  <si>
    <t>m3</t>
  </si>
  <si>
    <t>Double flanged 90° GS elbow DN200, PN10</t>
  </si>
  <si>
    <t>pcs</t>
  </si>
  <si>
    <t>Double  flanged Gate valve, DN50,PN10 Equipped with a hand wheel operating.</t>
  </si>
  <si>
    <t>Flanged double air release valve, DN50 PN10</t>
  </si>
  <si>
    <t>Double Flanged GS Pipe D200, PN10 ,L=4m with Single flanged dn50 short pipe L=200mm,welded in the middle</t>
  </si>
  <si>
    <t>Rubber compensator, DN200, PN10</t>
  </si>
  <si>
    <t xml:space="preserve">Double Flanged GS Pipe with puddle at center DN200, PN10, L=1.2m and  connection for pressure gauge
</t>
  </si>
  <si>
    <t>Pressure sustaining valve, DN200, PN10</t>
  </si>
  <si>
    <t>Flange dismantling for steel pipe, DN200, PN10</t>
  </si>
  <si>
    <t>Pressure gauge glycerin filled, scale 0-10 bars</t>
  </si>
  <si>
    <t>Single Flanged GS Pipe DN200,PN10, L=1.2m.</t>
  </si>
  <si>
    <t>Waltman type water meter, DN200, PN10</t>
  </si>
  <si>
    <t>Double  Flanged GS Pipe DN200, PN10, L=0.5m.</t>
  </si>
  <si>
    <t>Gate valve, DN200, PN10.Equipped with a hand wheel operating</t>
  </si>
  <si>
    <t>Double Flanged GS Pipe with puddle DN200, PN10, L=1m and welded with single flanged GS Pipe DN50, PN10 L=0.2m at the right side of the pipe</t>
  </si>
  <si>
    <t>Double Flanged DCI 45° Elbow DN200, PN10</t>
  </si>
  <si>
    <t>Double Flanged GS Pipe DN200, PN10,L=2.80m</t>
  </si>
  <si>
    <t>Pressure switch, working range 0-10 bar, ½” male connection.</t>
  </si>
  <si>
    <t>Double Flanged GS Pipe DN200, PN10, L=0.75m.</t>
  </si>
  <si>
    <t>Heavy duty Galvanined Steel Riser pipe threaded connection , DN200,PN60 with accessories  end connection pipe to submersible pump,L=6m</t>
  </si>
  <si>
    <t xml:space="preserve"> Double flanged Check valve DN200,PN10</t>
  </si>
  <si>
    <t>Digital water meters fit for upto DN 200 pipes</t>
  </si>
  <si>
    <t>KOBO-GIRANA  DRIP IRRIGATION PROJECT</t>
  </si>
  <si>
    <t xml:space="preserve"> A1 </t>
  </si>
  <si>
    <t>BILL 1. OF QUANTITY OF BASIC DISTRIBUTION OF DRIP IRRIGATION SYSTEM</t>
  </si>
  <si>
    <t>S.No.</t>
  </si>
  <si>
    <t>Item Description</t>
  </si>
  <si>
    <t>Unit price $ Dollar</t>
  </si>
  <si>
    <t>Total amount $ Dollar</t>
  </si>
  <si>
    <t>Laterals</t>
  </si>
  <si>
    <t>LDPE pipe drip lateral,16mm</t>
  </si>
  <si>
    <t>Barbed Head Connector/take off,16mmx16mm with rubber(grommet)</t>
  </si>
  <si>
    <t>Connectors,16mm</t>
  </si>
  <si>
    <t>1.1.4</t>
  </si>
  <si>
    <t>Endline Clamp,16mm</t>
  </si>
  <si>
    <t xml:space="preserve">Sub Total </t>
  </si>
  <si>
    <t>Manifolds</t>
  </si>
  <si>
    <t>HDPE pipe 63mm</t>
  </si>
  <si>
    <t>Compression coupler (63mmx63mm)</t>
  </si>
  <si>
    <t>Plastic End Cap 63mm</t>
  </si>
  <si>
    <t xml:space="preserve"> Control </t>
  </si>
  <si>
    <t>Compression adaptor (63x63x1½″)</t>
  </si>
  <si>
    <t>Adaptor (63 x63x1½″)</t>
  </si>
  <si>
    <r>
      <t>Solvent weld 90</t>
    </r>
    <r>
      <rPr>
        <vertAlign val="superscript"/>
        <sz val="11"/>
        <color theme="1"/>
        <rFont val="Franklin Gothic Book"/>
        <family val="2"/>
      </rPr>
      <t>o</t>
    </r>
    <r>
      <rPr>
        <sz val="11"/>
        <color theme="1"/>
        <rFont val="Franklin Gothic Book"/>
        <family val="2"/>
      </rPr>
      <t xml:space="preserve"> PVC Elbow( 63mmx63mm)</t>
    </r>
  </si>
  <si>
    <t>Adaptor (75x63x1½″)</t>
  </si>
  <si>
    <t>1.3.5</t>
  </si>
  <si>
    <t xml:space="preserve"> Gate valve ,1½″ (F/M)</t>
  </si>
  <si>
    <t>1.3.6</t>
  </si>
  <si>
    <t>Air Release Valve 1″</t>
  </si>
  <si>
    <t>1.3.7</t>
  </si>
  <si>
    <t>Union(1½″ )</t>
  </si>
  <si>
    <t>1.3.8</t>
  </si>
  <si>
    <r>
      <t>Pressure Regulator 1½″ (P</t>
    </r>
    <r>
      <rPr>
        <vertAlign val="subscript"/>
        <sz val="11"/>
        <color theme="1"/>
        <rFont val="Franklin Gothic Book"/>
        <family val="2"/>
      </rPr>
      <t>out</t>
    </r>
    <r>
      <rPr>
        <sz val="11"/>
        <color theme="1"/>
        <rFont val="Franklin Gothic Book"/>
        <family val="2"/>
      </rPr>
      <t>=12m)</t>
    </r>
  </si>
  <si>
    <t>1.3.9</t>
  </si>
  <si>
    <t>PVC Pipe Class-10, 63mm(0.2m)/Nipple 1½″</t>
  </si>
  <si>
    <t xml:space="preserve">A2 </t>
  </si>
  <si>
    <t xml:space="preserve">BILL OF QUANTITY OF DRIP   ELBOW, FLUNG GATE, SOCKEY IRRIGATION DISTRIBUTION SYSTEM </t>
  </si>
  <si>
    <t>SUBMAIN LINES</t>
  </si>
  <si>
    <t>PVC/GLUE REDUCER 125E X 110</t>
  </si>
  <si>
    <t>PVC/GLUE REDUCER 110E X 90</t>
  </si>
  <si>
    <t>PVC/GLUE ELBOW 90 DEG 250 mm</t>
  </si>
  <si>
    <t>2.1.4</t>
  </si>
  <si>
    <t>PVC/GLUE ELBOW 90 DEG 110 mm</t>
  </si>
  <si>
    <t>2.1.5</t>
  </si>
  <si>
    <t>PVC/GLUE ELBOW 90 DEG 90 mm</t>
  </si>
  <si>
    <t>2.1.6</t>
  </si>
  <si>
    <t>PVC/TEE 125X125X110 mm</t>
  </si>
  <si>
    <t>2.1.7</t>
  </si>
  <si>
    <t>PVC/TEE 125X125X90 mm</t>
  </si>
  <si>
    <t>2.1.8</t>
  </si>
  <si>
    <t>PVC/TEE 250X125X125 mm</t>
  </si>
  <si>
    <t>2.1.9</t>
  </si>
  <si>
    <t>PVC/TEE 180X110X90 mm</t>
  </si>
  <si>
    <t>2.1.10</t>
  </si>
  <si>
    <t>PVC/TEE 315X315X110 mm</t>
  </si>
  <si>
    <t>2.1.11</t>
  </si>
  <si>
    <t>PIPE PVC GLUED 6 ATM 90mm</t>
  </si>
  <si>
    <t>2.1.12</t>
  </si>
  <si>
    <t>PIPE PVC GLUED 6 ATM 110mm</t>
  </si>
  <si>
    <t>2.1.13</t>
  </si>
  <si>
    <t>PIPE PVC GLUED 6 ATM 125mm</t>
  </si>
  <si>
    <t>2.1.14</t>
  </si>
  <si>
    <t>PIPE PVC GLUED 6 ATM 250mm</t>
  </si>
  <si>
    <t>2.1.15</t>
  </si>
  <si>
    <t>PVC/THREADED PLUG 2"M</t>
  </si>
  <si>
    <t>2.1.16</t>
  </si>
  <si>
    <t>PVC/GLUE SOCKET 90 mm</t>
  </si>
  <si>
    <t>2.1.17</t>
  </si>
  <si>
    <t>PVC/GLUE SOCKET 110 mm</t>
  </si>
  <si>
    <t>2.1.18</t>
  </si>
  <si>
    <t>PVC/GLUE SOCKET 125 mm</t>
  </si>
  <si>
    <t>2.1.19</t>
  </si>
  <si>
    <t>PVC/GLUE SOCKET 160 mm</t>
  </si>
  <si>
    <t>2.1.20</t>
  </si>
  <si>
    <t>PVC/GLUE SOCKET 180 mm</t>
  </si>
  <si>
    <t>MAIN PIPE LINES</t>
  </si>
  <si>
    <t>PIPE PVC PRESS. 6.3 ATM 315mm</t>
  </si>
  <si>
    <t>PIPE PVC PRESS. 6.3 ATM 250mm</t>
  </si>
  <si>
    <t>PIPE PVC PRESS. 6.3 ATM 225 mm</t>
  </si>
  <si>
    <t>2.2.4</t>
  </si>
  <si>
    <t>PIPE PVC PRESS. 6 ATM 200 mm</t>
  </si>
  <si>
    <t>2.2.5</t>
  </si>
  <si>
    <t>PIPE PVC PRESS. 6 ATM 180 mm</t>
  </si>
  <si>
    <t>2.2.6</t>
  </si>
  <si>
    <t>PVC/PRESS DOUBLE SOCKET 250mm</t>
  </si>
  <si>
    <t>2.2.7</t>
  </si>
  <si>
    <t>PVC/PRESS DOUBLE SOCKET 225mm</t>
  </si>
  <si>
    <t>2.2.8</t>
  </si>
  <si>
    <t>PVC/PRESS DOUBLE SOCKET 200mm</t>
  </si>
  <si>
    <t>2.2.9</t>
  </si>
  <si>
    <t>PVC/PRESS DOUBLE SOCKET 180mm</t>
  </si>
  <si>
    <t>2.2.10</t>
  </si>
  <si>
    <t>PVC/PRESS DOUBLE SOCKET 160mm</t>
  </si>
  <si>
    <t>2.2.11</t>
  </si>
  <si>
    <t>GATE VALVE, 10"</t>
  </si>
  <si>
    <t>2.2.12</t>
  </si>
  <si>
    <t>PVC/TEE 250X250X225 mm</t>
  </si>
  <si>
    <t>Kobo Girana Total cost</t>
  </si>
  <si>
    <t xml:space="preserve"> Detailed Engineering Cost Estimate for Borena  Center Pivot  Irrigation Project</t>
  </si>
  <si>
    <t>Bill No. 1: Borena Site Center Pivot, Lateral Pipe and Drip, earth work and associated works</t>
  </si>
  <si>
    <t xml:space="preserve"> Quantity </t>
  </si>
  <si>
    <t>Unit Rate            $ Dollar</t>
  </si>
  <si>
    <t>Amount                      $ Dollar</t>
  </si>
  <si>
    <t>unit</t>
  </si>
  <si>
    <t>Unit Rate</t>
  </si>
  <si>
    <t xml:space="preserve"> Total Amount </t>
  </si>
  <si>
    <t>Bill No.2:  Borena Site CP Irrigation system works</t>
  </si>
  <si>
    <t>Irrigation system works</t>
  </si>
  <si>
    <t xml:space="preserve">H.T.BAUER RAINBOW(Aquaspin) Pivot(CP)- DYP 425 with system Length(5×59.8m+2×54.0m+17.6m) </t>
  </si>
  <si>
    <t>Bill No.3:  Borena Site Center Pivot Main Pipes and Fittings</t>
  </si>
  <si>
    <t>Main and Manifold Pipes and fitting related works</t>
  </si>
  <si>
    <t>PN 10 uPVC pipe with socketed and spigot ends for push-fit jointing including rubber seals and sufficient lubricants of dia.</t>
  </si>
  <si>
    <t>PN10 uPVC Double socketed Reducers with sealing , ends compatible to standard uPVC pipes and water-tight sealing at zero bar pressures</t>
  </si>
  <si>
    <t>-</t>
  </si>
  <si>
    <t>3.2.1</t>
  </si>
  <si>
    <t>uPVC  Reducer=315x180</t>
  </si>
  <si>
    <t>uPVC socketed Tee with sealing, ends compatible to standard uPVC pipes and water-tight sealing at zero bar pressures (for air release)</t>
  </si>
  <si>
    <t>3.3.1</t>
  </si>
  <si>
    <t>180x180x180 mm</t>
  </si>
  <si>
    <t>Supply and fix  well head system, valves and air valves</t>
  </si>
  <si>
    <t xml:space="preserve">                             -   </t>
  </si>
  <si>
    <t>3.4.1</t>
  </si>
  <si>
    <t>Flanged Bend dia. 12"</t>
  </si>
  <si>
    <t>3.4.2</t>
  </si>
  <si>
    <t>Flanged check valve dia 12''</t>
  </si>
  <si>
    <t>3.4.3</t>
  </si>
  <si>
    <t>Flanged gate valve  dia. 12"</t>
  </si>
  <si>
    <t>3.4.4</t>
  </si>
  <si>
    <r>
      <t>Flanged water meter ND 315 PN 16 with roller counter measuring flow rate  and total flow in m3</t>
    </r>
    <r>
      <rPr>
        <sz val="11"/>
        <color theme="1"/>
        <rFont val="Franklin Gothic Book"/>
        <family val="2"/>
      </rPr>
      <t xml:space="preserve"> capacity Q= 144 m3/h</t>
    </r>
  </si>
  <si>
    <t>3.4.5</t>
  </si>
  <si>
    <t>Flanged GS Tee dia 12'' x 6" x 12"</t>
  </si>
  <si>
    <t>3.4.6</t>
  </si>
  <si>
    <t>Flanged GS Air valve dia 6''</t>
  </si>
  <si>
    <t>3.4.7</t>
  </si>
  <si>
    <t>Pressure Relief valve 6" Flanged</t>
  </si>
  <si>
    <t>3.4.8</t>
  </si>
  <si>
    <t>GS Flanged Pipe 12"/1 m length</t>
  </si>
  <si>
    <t>3.4.9</t>
  </si>
  <si>
    <t>UPVC Flanged adaptor with backing ring DN 315mm PN 16</t>
  </si>
  <si>
    <t>3.4.10</t>
  </si>
  <si>
    <t>uPVC  Reducer=315x180(Socket +Reducer Bush)</t>
  </si>
  <si>
    <t>Air Release valve for main line double effect 2"(all components PN 10 unlessotherwise stated)</t>
  </si>
  <si>
    <t>3.5.1</t>
  </si>
  <si>
    <t>UPVC reducer Bush 180x90mm</t>
  </si>
  <si>
    <t>3.5.2</t>
  </si>
  <si>
    <t>UPVC Male Adaptor 90x2"</t>
  </si>
  <si>
    <t>3.5.3</t>
  </si>
  <si>
    <t>UPVC pipe 90 mm/PN 6.30/</t>
  </si>
  <si>
    <t>3.5.4</t>
  </si>
  <si>
    <t xml:space="preserve">UPVC Ball Valve 2" </t>
  </si>
  <si>
    <t>3.5.5</t>
  </si>
  <si>
    <t>Air Release valve 2" double effect for main line</t>
  </si>
  <si>
    <t>3.5.6</t>
  </si>
  <si>
    <t>Teflon  15m long</t>
  </si>
  <si>
    <t>3.5.7</t>
  </si>
  <si>
    <t>Glue 1 Kg (Heavy Duty) (717 PVC Cement Solvent)</t>
  </si>
  <si>
    <t>can</t>
  </si>
  <si>
    <t>Borehole to Blocks Delivery Line, Supply and installation of PN10 DN 180 mm delivery pipes</t>
  </si>
  <si>
    <t>3.7.1</t>
  </si>
  <si>
    <t>Supply and installation of delivery pipes with all accessories</t>
  </si>
  <si>
    <t>3.7.1.1</t>
  </si>
  <si>
    <t>Flanged Taper ( enlarger) DN150/315PN10, for uPVC</t>
  </si>
  <si>
    <t>3.7.1.2</t>
  </si>
  <si>
    <t>Flanged  Spigot DN180 PN10</t>
  </si>
  <si>
    <t>3.7.1.3</t>
  </si>
  <si>
    <t>UPVC 45 degree bend DN180 PN10</t>
  </si>
  <si>
    <t>3.7.1.4</t>
  </si>
  <si>
    <t>UPVC Reducer Bush 315 x 180mm PN 10</t>
  </si>
  <si>
    <t>3.7.1.5</t>
  </si>
  <si>
    <t xml:space="preserve"> GS PIPE DN 315 PN10, L=1m(for Support)</t>
  </si>
  <si>
    <t>Borena Total</t>
  </si>
  <si>
    <t>Genaral item</t>
  </si>
  <si>
    <t>Mobilization</t>
  </si>
  <si>
    <t xml:space="preserve">Kobo-Girana Site  Interceptor Drain Main Earth Work   </t>
  </si>
  <si>
    <t>Earth works</t>
  </si>
  <si>
    <t>Clearing and stripping  along the canal  to remove vegetative material and top soil  to a depth of 20 cm to formation level on completion and disposal of surplus in spoil tips including placing up to 500 m away</t>
  </si>
  <si>
    <t>M2</t>
  </si>
  <si>
    <t>Excavation of ordinary soil up to  150cm depth from reduced level along the canal to design shape, slope and level of canal  and bank to formation level on completion and disposal of surplus in spoil tips including placing up to 500m away as directed as per the drawing</t>
  </si>
  <si>
    <t>Obtain excavated material from borrow pits and excavation material place as compacted fill in canal and left and right side banks to the design level including trimming, shaping and compaction on 250mm layers and proctor test as directed</t>
  </si>
  <si>
    <t xml:space="preserve">Kobo-Girana Site  Interceptor Drain Main Structure (Canal Lined) Work   </t>
  </si>
  <si>
    <t>Provide and fill with hard basaltic or equivalent stone, well compacted and blinded with crushed stone and Peaching with 1:3 Mortar</t>
  </si>
  <si>
    <t xml:space="preserve">Excavation of ordinary soil  to structure foundation to formation level </t>
  </si>
  <si>
    <t>Compacted Fill</t>
  </si>
  <si>
    <t>Supply, fill and compact approved back fill with selected material to the structure to formation level</t>
  </si>
  <si>
    <t>Stone Masonry</t>
  </si>
  <si>
    <t>Provide and fill with hard basaltic or equivalent stone, well compacted and blinded with crushed stone and mason with 1:3 Mortar</t>
  </si>
  <si>
    <t>Mason Plastering</t>
  </si>
  <si>
    <t>m2</t>
  </si>
  <si>
    <t>Kobo-girana Drip irrigation Project reserviour  Structure and associated works</t>
  </si>
  <si>
    <t>Reserviour</t>
  </si>
  <si>
    <t>Earth work</t>
  </si>
  <si>
    <t>Excavation for structure to formation level and disposal of surplus as fill in embankments or in spoil pits including placing and spreading up to 100m away</t>
  </si>
  <si>
    <r>
      <t>m</t>
    </r>
    <r>
      <rPr>
        <b/>
        <vertAlign val="superscript"/>
        <sz val="11"/>
        <rFont val="Franklin Gothic Book"/>
        <family val="2"/>
      </rPr>
      <t>3</t>
    </r>
  </si>
  <si>
    <t>Obtain excavated material from channel and drains  and place as compacted fill in canal embankment including trimming and shaping, free haul 500m including compaction on 250mm layers and proctor test</t>
  </si>
  <si>
    <t>Main Structure</t>
  </si>
  <si>
    <t>2.3.5</t>
  </si>
  <si>
    <t>400mm Thick Clay of  reserviour side slope</t>
  </si>
  <si>
    <t>2.3.6</t>
  </si>
  <si>
    <t>400mm Thick Clay of  reserviour Bedding</t>
  </si>
  <si>
    <t>2.3.7</t>
  </si>
  <si>
    <t>1.2mm Thick Geomembrane of  reserviour side slope</t>
  </si>
  <si>
    <r>
      <t>m</t>
    </r>
    <r>
      <rPr>
        <b/>
        <sz val="11"/>
        <rFont val="Franklin Gothic Book"/>
        <family val="2"/>
      </rPr>
      <t>2</t>
    </r>
  </si>
  <si>
    <t>2.3.8</t>
  </si>
  <si>
    <t>1.2mm Thick Geomembrane of  reserviour bedding</t>
  </si>
  <si>
    <t>500m3 Steel reservoir</t>
  </si>
  <si>
    <t>Construction of reservoir stand and installation</t>
  </si>
  <si>
    <t>Construction of fence for PV generation site</t>
  </si>
  <si>
    <t>Transportation &amp; installation of equipments</t>
  </si>
  <si>
    <t>Site</t>
  </si>
  <si>
    <t>Kobo Girana - Total Cost</t>
  </si>
  <si>
    <t>Camping with its full facility</t>
  </si>
  <si>
    <t xml:space="preserve"> Earth work</t>
  </si>
  <si>
    <t xml:space="preserve"> Trench Excavation on normal soil to a depth of  1.5m  on 5 m x 5m area</t>
  </si>
  <si>
    <t>Supply and compact approved selected materials 350mm thick under floor to depth 1.25 m</t>
  </si>
  <si>
    <r>
      <t>M</t>
    </r>
    <r>
      <rPr>
        <vertAlign val="superscript"/>
        <sz val="11"/>
        <color rgb="FF000000"/>
        <rFont val="Franklin Gothic Book"/>
        <family val="2"/>
      </rPr>
      <t>3</t>
    </r>
  </si>
  <si>
    <t>Approved 25cm  (basalt stone ) Hard core filling</t>
  </si>
  <si>
    <r>
      <t>M</t>
    </r>
    <r>
      <rPr>
        <vertAlign val="superscript"/>
        <sz val="11"/>
        <color rgb="FF000000"/>
        <rFont val="Franklin Gothic Book"/>
        <family val="2"/>
      </rPr>
      <t>2</t>
    </r>
  </si>
  <si>
    <t xml:space="preserve"> Trench Excavation on normal soil to a depth of  1.5m  by 1m for coming inlet pipe</t>
  </si>
  <si>
    <t>Supply and installation of lateral and Center Pivot Mashine With its Accessaries</t>
  </si>
  <si>
    <t>Transportation,Commission and Foreign Expatriate and Related Cost to install CPS and train experts</t>
  </si>
  <si>
    <t xml:space="preserve"> Trench Excavation on normal soil to a depth of  1.4m  by 1m for delivery pipes laying buried </t>
  </si>
  <si>
    <t>M3</t>
  </si>
  <si>
    <t xml:space="preserve">Provide 10 cm bedding before and after lay out of the pipe with selected granular material and well rammed in layers </t>
  </si>
  <si>
    <t xml:space="preserve">Back fill with selected material above the crown of the pipe and well rammed in layers not exceeding 20 cm </t>
  </si>
  <si>
    <t>Borena Site CP Civil Works</t>
  </si>
  <si>
    <t xml:space="preserve">Borehole Wellheads </t>
  </si>
  <si>
    <t xml:space="preserve">1200x1200x150  mm precast concrete slab </t>
  </si>
  <si>
    <t xml:space="preserve">200  mm thick hollow block work vertical wall </t>
  </si>
  <si>
    <t>Rendering with 12  mm thick 1:5 cement/sand mortar  with a wooden float to external faces of block work</t>
  </si>
  <si>
    <t xml:space="preserve">Plastering with an under coat max. thickness 20  mm to BS 5492 to internal faces of block work </t>
  </si>
  <si>
    <t xml:space="preserve">Damp proof course </t>
  </si>
  <si>
    <t xml:space="preserve">650x650 x 3   mm lockable cover </t>
  </si>
  <si>
    <t xml:space="preserve">Site works </t>
  </si>
  <si>
    <t xml:space="preserve">General clearance </t>
  </si>
  <si>
    <t xml:space="preserve">Spreading and leveling to finished ground level using imported topsoil depth n.e. 250  mm thick </t>
  </si>
  <si>
    <t xml:space="preserve">Vehicle access and hard standing within borehole compound </t>
  </si>
  <si>
    <t xml:space="preserve">Planting of approved grass seeding to spread and leveled ground </t>
  </si>
  <si>
    <t>Precast concrete units for drainage channel</t>
  </si>
  <si>
    <t>Miscellaneous work</t>
  </si>
  <si>
    <t>Barbed wire fencing consists of 2.5 mm barbed wire horizontal and diagonal member fixed to 2500 mm long concrete posts spaced every 1.5m, including all necessary material.</t>
  </si>
  <si>
    <t>Gate with lock and key including  concrete column on which the gate will be fixed as per the standard</t>
  </si>
  <si>
    <t>Borena Site  Guard House with Solar Power Switch Board House Work</t>
  </si>
  <si>
    <t>Excavation &amp; Earth Work</t>
  </si>
  <si>
    <t>Site clearance of the top soil to the depth of 20cm</t>
  </si>
  <si>
    <t>Bulk excavation in normal soil to a depth of 100cm</t>
  </si>
  <si>
    <t>Items 2.1.2 for excavation in  any rock  formation to a depth of 100cm</t>
  </si>
  <si>
    <t xml:space="preserve">Cart away excavated material to a distance not exceeding 1km </t>
  </si>
  <si>
    <t xml:space="preserve">Filling to stated depth or thickness including compacting </t>
  </si>
  <si>
    <t>300 mm thick selected granular material</t>
  </si>
  <si>
    <t>250 mm thick hard - core</t>
  </si>
  <si>
    <t>500 mm thick excavated stone foundation with 1:3 cement / sand mortar</t>
  </si>
  <si>
    <t>Provide and place In - situ concrete to specifications and Grade C10/ blinding concrete</t>
  </si>
  <si>
    <t>50 mm thick blinding grade</t>
  </si>
  <si>
    <t>Grade C20/ mass concrete</t>
  </si>
  <si>
    <t>100 mm thick ground slab</t>
  </si>
  <si>
    <t>60 mm thick pavement</t>
  </si>
  <si>
    <t>Grade C-25/reinforced concrete</t>
  </si>
  <si>
    <t>Column type - C1 (200 by 200 mm)</t>
  </si>
  <si>
    <t>Internal tie beam (150 x 150 mm) - B1 &amp; B2</t>
  </si>
  <si>
    <t>External tie beam (150 x 200 mm</t>
  </si>
  <si>
    <t>External lintel (150 x 200 mm)</t>
  </si>
  <si>
    <t>Grade beam (200 x 200 mm) - B1 &amp; B2</t>
  </si>
  <si>
    <t>Formwork</t>
  </si>
  <si>
    <t>Grade beam</t>
  </si>
  <si>
    <t>Top Tie beam</t>
  </si>
  <si>
    <t>Lintel</t>
  </si>
  <si>
    <t>Column</t>
  </si>
  <si>
    <t>High yield reinforcement steel bars to specifications</t>
  </si>
  <si>
    <t>kg</t>
  </si>
  <si>
    <t>Precast concrete structures</t>
  </si>
  <si>
    <t>Precast concrete units for drainage channels</t>
  </si>
  <si>
    <t>Timber structures</t>
  </si>
  <si>
    <t>Timber roof structures c.w. 70 x 50 mm ZIGBA purlin 200 x 25 mm facia board, fittings and fastening; span 2400 mm</t>
  </si>
  <si>
    <t>Light weight (hollow) block works</t>
  </si>
  <si>
    <t>150 mm thick hollow block work to internal vertical straight walls</t>
  </si>
  <si>
    <t>200 mm thick hollow block work to internal vertical straight walls</t>
  </si>
  <si>
    <t>Finishing Work</t>
  </si>
  <si>
    <t>Rendering with 12 mm thick 1:3 cement/sand mortar with a wooden float to external faces of block work</t>
  </si>
  <si>
    <t>Plastering with an undercoat max. thickness 20 mm to internal faces of block work</t>
  </si>
  <si>
    <t>Damp proof course</t>
  </si>
  <si>
    <t>Painting</t>
  </si>
  <si>
    <t>Painting of smooth concrete surfaces: undercoat and plastic emulsion paint</t>
  </si>
  <si>
    <t>Water proofing</t>
  </si>
  <si>
    <t>Water proofing sheeting of 500 gauge polythene to surfaces inclined at an angle n.e. 30 deg. To the horizontal: in one layer</t>
  </si>
  <si>
    <t>Metal Door &amp; windows, frame, glazing and furniture</t>
  </si>
  <si>
    <t>LTZ  window (800 by 1200 mm)</t>
  </si>
  <si>
    <t>LTZ door (900 by 2100 mm)</t>
  </si>
  <si>
    <t>Electrical Installation</t>
  </si>
  <si>
    <t>Supply and install the required electrical installation</t>
  </si>
  <si>
    <t>Sand and cement floor screed 30 mm thick, floated finish</t>
  </si>
  <si>
    <t>Galvanized roofing corrugated iron sheets Ethiopian 28 gauge ridge and valley pieces and fixing include grouting into wall</t>
  </si>
  <si>
    <t>50 x 10mm galvanized iron vent pipe to detail</t>
  </si>
  <si>
    <t>no.</t>
  </si>
  <si>
    <t>Galvanized steel for rain water collection inclusive of gutters, downpipes and fittings</t>
  </si>
  <si>
    <r>
      <t>Borena Site Center Pivot Interceptor Drain earth work</t>
    </r>
    <r>
      <rPr>
        <sz val="11"/>
        <color theme="1"/>
        <rFont val="Franklin Gothic Book"/>
        <family val="2"/>
      </rPr>
      <t xml:space="preserve"> </t>
    </r>
  </si>
  <si>
    <t xml:space="preserve">Borena Site  Interceptor Drain Main Earth Work   </t>
  </si>
  <si>
    <t>Borena Site center Pivot  Interceptor Drain Structure and associated works</t>
  </si>
  <si>
    <t xml:space="preserve">Borena Site  Interceptor Drain Main Structure (Canal Lined) Work   </t>
  </si>
  <si>
    <t>Cattle Trough earthwork and associated structures</t>
  </si>
  <si>
    <t>Site Works and Earth  Works</t>
  </si>
  <si>
    <t xml:space="preserve"> </t>
  </si>
  <si>
    <t>Clearing and grubbing</t>
  </si>
  <si>
    <t>Bulk excavation in ordinary soil to a depth not greater than 1.5m</t>
  </si>
  <si>
    <t>Ditto but in soft rock</t>
  </si>
  <si>
    <t>Graded gravel bed with average depth of 300mm and particle size ranging from 3 to 6mm</t>
  </si>
  <si>
    <t>Supply and place 250 mm thick hard trachyte stone hard core</t>
  </si>
  <si>
    <t>CONCRETE WORK</t>
  </si>
  <si>
    <t>50 mm thick C10 lean concrete under the cattle trough</t>
  </si>
  <si>
    <t>Supply and raise 350 mm high C20 concrete side walls above the ground level extended for 400 mm.</t>
  </si>
  <si>
    <t>PIPE WORKS</t>
  </si>
  <si>
    <t>Install 20mm GS pipes. Price includes trench excavation and backfill.</t>
  </si>
  <si>
    <t xml:space="preserve">Install 20 mm GS threaded gate valve </t>
  </si>
  <si>
    <t>Install 20 mm GS threaded water meter</t>
  </si>
  <si>
    <t>Install 20 mm GS faucet</t>
  </si>
  <si>
    <t>Supply and Install 50 mm GS pipe for draining the trough</t>
  </si>
  <si>
    <t>Borena - Total Cost</t>
  </si>
  <si>
    <t>1.2.1.5: Test and commission the installed irrigation infrastructure and pipe networks for proper operation.</t>
  </si>
  <si>
    <r>
      <rPr>
        <b/>
        <sz val="11"/>
        <color theme="1"/>
        <rFont val="Aptos Narrow"/>
        <scheme val="minor"/>
      </rPr>
      <t>International consulting firm:</t>
    </r>
    <r>
      <rPr>
        <sz val="11"/>
        <color theme="1"/>
        <rFont val="Aptos Narrow"/>
        <family val="2"/>
        <scheme val="minor"/>
      </rPr>
      <t xml:space="preserve"> Solar Power specialist, Electrical Eng., Pump Specialsit, Hydraulic Eng., Irrigation Specialist, Automation and Control systems Eng.and Water Quality specialist </t>
    </r>
  </si>
  <si>
    <t>Lump Sum</t>
  </si>
  <si>
    <t>The following expertise within a specialized firm will be hired to test and commission solar-powered submersible pumps and watering irrigation infrastructure through drip and center pivot systems</t>
  </si>
  <si>
    <t xml:space="preserve">*Expertiese requirement below is indicative and actuals might change </t>
  </si>
  <si>
    <t xml:space="preserve"> 1. Solar Power Specialist</t>
  </si>
  <si>
    <t>Relevant Expertise: Designing and optimizing solar power systems for agricultural and potable applications, troubleshooting and maintaining solar panels, and ensuring efficient energy conversion and storage.</t>
  </si>
  <si>
    <t xml:space="preserve"> 2. Electrical Engineer</t>
  </si>
  <si>
    <t>Relevant Expertise: Installing and testing electrical components of the solar-powered pumps, ensuring proper connections and system integration, and addressing electrical issues that may arise.</t>
  </si>
  <si>
    <t xml:space="preserve"> 3. Pump Specialist</t>
  </si>
  <si>
    <t>Relevant Expertise: Testing and commissioning submersible pumps, ensuring proper installation and operation, and troubleshooting any mechanical issues.</t>
  </si>
  <si>
    <t xml:space="preserve"> 4. Hydraulic Engineer</t>
  </si>
  <si>
    <t>Relevant Expertise: Designing and evaluating the hydraulic performance of thepotable and  irrigation system, ensuring proper water distribution through drip and center pivot systems, and optimizing flow rates.</t>
  </si>
  <si>
    <t xml:space="preserve"> 5. Irrigation Specialist</t>
  </si>
  <si>
    <t>Relevant Expertise: Planning and testing irrigation infrastructure, ensuring efficient water delivery to crops, and optimizing irrigation schedules and patterns.</t>
  </si>
  <si>
    <t xml:space="preserve"> 6. Automation and Control Systems Engineer</t>
  </si>
  <si>
    <t>Relevant Expertise: Setting up and testing automated control systems for irrigation, integrating sensors and timers, and ensuring responsive and efficient system operation.</t>
  </si>
  <si>
    <t xml:space="preserve"> 7. Water Quality Specialist</t>
  </si>
  <si>
    <t>Relevant Expertise: Testing the quality of water being pumped and delivered, ensuring it meets necessary standards for potable and irrigation use, and recommending treatment solutions if needed.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</si>
</sst>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_-* #,##0.00_-;\-* #,##0.00_-;_-* &quot;-&quot;??_-;_-@_-"/>
    <numFmt numFmtId="165" formatCode="_-* #,##0.0_-;\-* #,##0.0_-;_-* &quot;-&quot;??_-;_-@_-"/>
    <numFmt numFmtId="166" formatCode="_(* #,##0_);_(* \(#,##0\);_(* &quot;-&quot;??_);_(@_)"/>
    <numFmt numFmtId="167" formatCode="_-* #,##0.0_-;\-* #,##0.0_-;_-* &quot;-&quot;??_-;_-@"/>
    <numFmt numFmtId="168" formatCode="0.0"/>
  </numFmts>
  <fonts count="64">
    <font>
      <sz val="11"/>
      <color theme="1"/>
      <name val="Aptos Narrow"/>
      <family val="2"/>
      <scheme val="minor"/>
    </font>
    <font>
      <sz val="11"/>
      <color theme="1"/>
      <name val="Aptos Narrow"/>
      <family val="2"/>
      <scheme val="minor"/>
    </font>
    <font>
      <b/>
      <sz val="11"/>
      <color theme="1"/>
      <name val="Aptos Narrow"/>
      <family val="2"/>
      <scheme val="minor"/>
    </font>
    <font>
      <sz val="12"/>
      <color theme="1"/>
      <name val="Aptos Narrow"/>
      <family val="2"/>
      <scheme val="minor"/>
    </font>
    <font>
      <b/>
      <sz val="11"/>
      <color rgb="FF000000"/>
      <name val="Franklin Gothic Book"/>
      <family val="2"/>
    </font>
    <font>
      <sz val="11"/>
      <color theme="1"/>
      <name val="Franklin Gothic Book"/>
      <family val="2"/>
    </font>
    <font>
      <sz val="11"/>
      <color rgb="FF000000"/>
      <name val="Franklin Gothic Book"/>
      <family val="2"/>
    </font>
    <font>
      <sz val="10"/>
      <color theme="1"/>
      <name val="Franklin Gothic Book"/>
      <family val="2"/>
    </font>
    <font>
      <b/>
      <sz val="10"/>
      <color theme="1"/>
      <name val="Franklin Gothic Book"/>
      <family val="2"/>
    </font>
    <font>
      <b/>
      <sz val="12"/>
      <color theme="1"/>
      <name val="Franklin Gothic Book"/>
      <family val="2"/>
    </font>
    <font>
      <b/>
      <sz val="11"/>
      <color theme="1"/>
      <name val="Franklin Gothic Book"/>
      <family val="2"/>
    </font>
    <font>
      <b/>
      <i/>
      <sz val="11"/>
      <color theme="1"/>
      <name val="Franklin Gothic Book"/>
      <family val="2"/>
    </font>
    <font>
      <sz val="9"/>
      <color theme="1"/>
      <name val="Franklin Gothic Book"/>
      <family val="2"/>
    </font>
    <font>
      <b/>
      <sz val="9"/>
      <color theme="1"/>
      <name val="Franklin Gothic Book"/>
      <family val="2"/>
    </font>
    <font>
      <vertAlign val="superscript"/>
      <sz val="11"/>
      <color rgb="FF000000"/>
      <name val="Franklin Gothic Book"/>
      <family val="2"/>
    </font>
    <font>
      <sz val="10"/>
      <name val="Arial"/>
      <family val="2"/>
    </font>
    <font>
      <b/>
      <sz val="11"/>
      <color rgb="FF000000"/>
      <name val="Arial"/>
      <family val="2"/>
    </font>
    <font>
      <vertAlign val="superscript"/>
      <sz val="11"/>
      <color theme="1"/>
      <name val="Franklin Gothic Book"/>
      <family val="2"/>
    </font>
    <font>
      <vertAlign val="subscript"/>
      <sz val="11"/>
      <color theme="1"/>
      <name val="Franklin Gothic Book"/>
      <family val="2"/>
    </font>
    <font>
      <b/>
      <sz val="11"/>
      <name val="Franklin Gothic Book"/>
      <family val="2"/>
    </font>
    <font>
      <b/>
      <vertAlign val="superscript"/>
      <sz val="11"/>
      <name val="Franklin Gothic Book"/>
      <family val="2"/>
    </font>
    <font>
      <b/>
      <i/>
      <sz val="11"/>
      <color rgb="FF000000"/>
      <name val="Franklin Gothic Book"/>
      <family val="2"/>
    </font>
    <font>
      <sz val="11"/>
      <color rgb="FF000000"/>
      <name val="Arial"/>
      <family val="2"/>
    </font>
    <font>
      <sz val="10"/>
      <color theme="1"/>
      <name val="Arial"/>
      <family val="2"/>
    </font>
    <font>
      <sz val="11"/>
      <color theme="1"/>
      <name val="Arial"/>
      <family val="2"/>
    </font>
    <font>
      <b/>
      <sz val="11"/>
      <color theme="1"/>
      <name val="Arial"/>
      <family val="2"/>
    </font>
    <font>
      <b/>
      <sz val="11"/>
      <color theme="1"/>
      <name val="Libre Franklin"/>
    </font>
    <font>
      <b/>
      <i/>
      <sz val="11"/>
      <color rgb="FF000000"/>
      <name val="Libre Franklin"/>
    </font>
    <font>
      <sz val="11"/>
      <color rgb="FF000000"/>
      <name val="Libre Franklin"/>
    </font>
    <font>
      <b/>
      <sz val="11"/>
      <color rgb="FF000000"/>
      <name val="Libre Franklin"/>
    </font>
    <font>
      <sz val="11"/>
      <color theme="1"/>
      <name val="Libre Franklin"/>
    </font>
    <font>
      <b/>
      <sz val="12"/>
      <color theme="1"/>
      <name val="Aptos Narrow"/>
      <family val="2"/>
      <scheme val="minor"/>
    </font>
    <font>
      <b/>
      <sz val="12"/>
      <color rgb="FF000000"/>
      <name val="Franklin Gothic Book"/>
      <family val="2"/>
    </font>
    <font>
      <b/>
      <sz val="10.5"/>
      <color rgb="FF000000"/>
      <name val="Franklin Gothic Book"/>
      <family val="2"/>
    </font>
    <font>
      <sz val="10.5"/>
      <color rgb="FF000000"/>
      <name val="Franklin Gothic Book"/>
      <family val="2"/>
    </font>
    <font>
      <b/>
      <sz val="10.5"/>
      <color theme="1"/>
      <name val="Franklin Gothic Book"/>
      <family val="2"/>
    </font>
    <font>
      <b/>
      <sz val="10.5"/>
      <color rgb="FFFF0000"/>
      <name val="Franklin Gothic Book"/>
      <family val="2"/>
    </font>
    <font>
      <b/>
      <sz val="11"/>
      <color theme="1"/>
      <name val="Aptos"/>
      <family val="2"/>
    </font>
    <font>
      <b/>
      <sz val="10"/>
      <color theme="1"/>
      <name val="Arial"/>
      <family val="2"/>
    </font>
    <font>
      <sz val="10"/>
      <color theme="1"/>
      <name val="Aptos Narrow"/>
      <family val="2"/>
      <scheme val="minor"/>
    </font>
    <font>
      <b/>
      <sz val="9"/>
      <color theme="1"/>
      <name val="Arial"/>
      <family val="2"/>
    </font>
    <font>
      <sz val="9"/>
      <color theme="1"/>
      <name val="Arial"/>
      <family val="2"/>
    </font>
    <font>
      <b/>
      <sz val="10"/>
      <color rgb="FF24797E"/>
      <name val="Libre Franklin"/>
    </font>
    <font>
      <b/>
      <sz val="12"/>
      <name val="Calibri"/>
      <family val="2"/>
    </font>
    <font>
      <sz val="10"/>
      <color rgb="FF24797E"/>
      <name val="Libre Franklin"/>
    </font>
    <font>
      <b/>
      <sz val="10"/>
      <color rgb="FF01797E"/>
      <name val="Libre Franklin"/>
    </font>
    <font>
      <sz val="12"/>
      <name val="Calibri"/>
      <family val="2"/>
    </font>
    <font>
      <b/>
      <i/>
      <u/>
      <sz val="10"/>
      <color rgb="FF01797E"/>
      <name val="Libre Franklin"/>
    </font>
    <font>
      <b/>
      <i/>
      <u/>
      <sz val="10"/>
      <color rgb="FF01797E"/>
      <name val="Franklin Gothic Book"/>
      <family val="2"/>
    </font>
    <font>
      <i/>
      <u/>
      <sz val="10"/>
      <color rgb="FF01797E"/>
      <name val="Libre Franklin"/>
    </font>
    <font>
      <sz val="10"/>
      <color rgb="FF01797E"/>
      <name val="Libre Franklin"/>
    </font>
    <font>
      <i/>
      <sz val="10"/>
      <color theme="1"/>
      <name val="Libre Franklin"/>
    </font>
    <font>
      <b/>
      <sz val="10"/>
      <color theme="1"/>
      <name val="Libre Franklin"/>
    </font>
    <font>
      <sz val="10"/>
      <color theme="1"/>
      <name val="Libre Franklin"/>
    </font>
    <font>
      <b/>
      <sz val="10"/>
      <name val="Franklin Gothic Book"/>
      <family val="2"/>
    </font>
    <font>
      <b/>
      <sz val="10.5"/>
      <name val="Franklin Gothic Book"/>
      <family val="2"/>
    </font>
    <font>
      <b/>
      <sz val="9"/>
      <color theme="1"/>
      <name val="Cambria"/>
      <family val="1"/>
    </font>
    <font>
      <b/>
      <sz val="9"/>
      <color theme="0"/>
      <name val="Cambria"/>
      <family val="1"/>
    </font>
    <font>
      <sz val="11"/>
      <color theme="1"/>
      <name val="Cambria"/>
      <family val="1"/>
    </font>
    <font>
      <b/>
      <sz val="11"/>
      <color theme="1"/>
      <name val="Cambria"/>
      <family val="1"/>
    </font>
    <font>
      <b/>
      <sz val="11"/>
      <color theme="0"/>
      <name val="Cambria"/>
      <family val="1"/>
    </font>
    <font>
      <b/>
      <sz val="11"/>
      <color theme="1"/>
      <name val="Aptos Narrow"/>
      <scheme val="minor"/>
    </font>
    <font>
      <sz val="11"/>
      <color theme="1"/>
      <name val="Aptos Narrow"/>
      <scheme val="minor"/>
    </font>
    <font>
      <b/>
      <i/>
      <sz val="11"/>
      <color theme="1"/>
      <name val="Aptos Narrow"/>
      <scheme val="minor"/>
    </font>
  </fonts>
  <fills count="18">
    <fill>
      <patternFill patternType="none"/>
    </fill>
    <fill>
      <patternFill patternType="gray125"/>
    </fill>
    <fill>
      <patternFill patternType="solid">
        <fgColor rgb="FFD9D9D9"/>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rgb="FFD9D9D9"/>
      </patternFill>
    </fill>
    <fill>
      <patternFill patternType="solid">
        <fgColor rgb="FFC6E0B4"/>
        <bgColor indexed="64"/>
      </patternFill>
    </fill>
    <fill>
      <patternFill patternType="solid">
        <fgColor theme="6" tint="0.59999389629810485"/>
        <bgColor indexed="64"/>
      </patternFill>
    </fill>
    <fill>
      <patternFill patternType="solid">
        <fgColor theme="3" tint="0.749992370372631"/>
        <bgColor indexed="64"/>
      </patternFill>
    </fill>
    <fill>
      <patternFill patternType="solid">
        <fgColor theme="5" tint="0.59999389629810485"/>
        <bgColor indexed="64"/>
      </patternFill>
    </fill>
    <fill>
      <patternFill patternType="solid">
        <fgColor rgb="FFA6C9EC"/>
        <bgColor indexed="64"/>
      </patternFill>
    </fill>
    <fill>
      <patternFill patternType="solid">
        <fgColor theme="9" tint="0.59999389629810485"/>
        <bgColor indexed="64"/>
      </patternFill>
    </fill>
    <fill>
      <patternFill patternType="solid">
        <fgColor rgb="FFFFFFFF"/>
        <bgColor rgb="FFFFFFFF"/>
      </patternFill>
    </fill>
    <fill>
      <patternFill patternType="solid">
        <fgColor theme="2" tint="-0.14999847407452621"/>
        <bgColor indexed="64"/>
      </patternFill>
    </fill>
    <fill>
      <patternFill patternType="solid">
        <fgColor theme="2" tint="-9.9978637043366805E-2"/>
        <bgColor indexed="64"/>
      </patternFill>
    </fill>
    <fill>
      <patternFill patternType="solid">
        <fgColor theme="8" tint="-0.499984740745262"/>
        <bgColor indexed="64"/>
      </patternFill>
    </fill>
    <fill>
      <patternFill patternType="solid">
        <fgColor rgb="FF00B0F0"/>
        <bgColor indexed="64"/>
      </patternFill>
    </fill>
    <fill>
      <patternFill patternType="solid">
        <fgColor theme="8" tint="0.59999389629810485"/>
        <bgColor indexed="64"/>
      </patternFill>
    </fill>
  </fills>
  <borders count="157">
    <border>
      <left/>
      <right/>
      <top/>
      <bottom/>
      <diagonal/>
    </border>
    <border>
      <left style="hair">
        <color indexed="64"/>
      </left>
      <right style="hair">
        <color indexed="64"/>
      </right>
      <top style="hair">
        <color indexed="64"/>
      </top>
      <bottom style="hair">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medium">
        <color rgb="FF24797E"/>
      </left>
      <right style="hair">
        <color rgb="FF24797E"/>
      </right>
      <top style="hair">
        <color rgb="FF24797E"/>
      </top>
      <bottom style="hair">
        <color rgb="FF24797E"/>
      </bottom>
      <diagonal/>
    </border>
    <border>
      <left style="hair">
        <color rgb="FF24797E"/>
      </left>
      <right style="hair">
        <color rgb="FF24797E"/>
      </right>
      <top style="hair">
        <color rgb="FF24797E"/>
      </top>
      <bottom style="hair">
        <color rgb="FF24797E"/>
      </bottom>
      <diagonal/>
    </border>
    <border>
      <left style="hair">
        <color rgb="FF24797E"/>
      </left>
      <right style="medium">
        <color rgb="FF24797E"/>
      </right>
      <top style="hair">
        <color rgb="FF24797E"/>
      </top>
      <bottom style="hair">
        <color rgb="FF24797E"/>
      </bottom>
      <diagonal/>
    </border>
    <border>
      <left style="medium">
        <color rgb="FF24797E"/>
      </left>
      <right style="hair">
        <color rgb="FF24797E"/>
      </right>
      <top style="hair">
        <color rgb="FF24797E"/>
      </top>
      <bottom/>
      <diagonal/>
    </border>
    <border>
      <left style="hair">
        <color rgb="FF24797E"/>
      </left>
      <right style="hair">
        <color rgb="FF24797E"/>
      </right>
      <top style="hair">
        <color rgb="FF24797E"/>
      </top>
      <bottom/>
      <diagonal/>
    </border>
    <border>
      <left style="hair">
        <color rgb="FF24797E"/>
      </left>
      <right style="medium">
        <color rgb="FF24797E"/>
      </right>
      <top style="hair">
        <color rgb="FF24797E"/>
      </top>
      <bottom/>
      <diagonal/>
    </border>
    <border>
      <left style="medium">
        <color indexed="64"/>
      </left>
      <right/>
      <top style="medium">
        <color indexed="64"/>
      </top>
      <bottom style="medium">
        <color indexed="64"/>
      </bottom>
      <diagonal/>
    </border>
    <border>
      <left/>
      <right style="hair">
        <color rgb="FF24797E"/>
      </right>
      <top style="medium">
        <color indexed="64"/>
      </top>
      <bottom style="medium">
        <color indexed="64"/>
      </bottom>
      <diagonal/>
    </border>
    <border>
      <left style="hair">
        <color rgb="FF24797E"/>
      </left>
      <right style="hair">
        <color rgb="FF24797E"/>
      </right>
      <top style="medium">
        <color indexed="64"/>
      </top>
      <bottom style="medium">
        <color indexed="64"/>
      </bottom>
      <diagonal/>
    </border>
    <border>
      <left style="hair">
        <color rgb="FF24797E"/>
      </left>
      <right style="medium">
        <color indexed="64"/>
      </right>
      <top style="medium">
        <color indexed="64"/>
      </top>
      <bottom style="medium">
        <color indexed="64"/>
      </bottom>
      <diagonal/>
    </border>
    <border>
      <left style="medium">
        <color rgb="FF24797E"/>
      </left>
      <right style="hair">
        <color rgb="FF24797E"/>
      </right>
      <top style="medium">
        <color rgb="FF24797E"/>
      </top>
      <bottom/>
      <diagonal/>
    </border>
    <border>
      <left style="hair">
        <color rgb="FF24797E"/>
      </left>
      <right style="hair">
        <color rgb="FF24797E"/>
      </right>
      <top style="medium">
        <color rgb="FF24797E"/>
      </top>
      <bottom/>
      <diagonal/>
    </border>
    <border>
      <left style="hair">
        <color rgb="FF24797E"/>
      </left>
      <right style="medium">
        <color rgb="FF24797E"/>
      </right>
      <top style="medium">
        <color rgb="FF24797E"/>
      </top>
      <bottom/>
      <diagonal/>
    </border>
    <border>
      <left style="medium">
        <color indexed="64"/>
      </left>
      <right style="hair">
        <color rgb="FF24797E"/>
      </right>
      <top style="medium">
        <color indexed="64"/>
      </top>
      <bottom style="hair">
        <color rgb="FF24797E"/>
      </bottom>
      <diagonal/>
    </border>
    <border>
      <left style="hair">
        <color rgb="FF24797E"/>
      </left>
      <right style="hair">
        <color rgb="FF24797E"/>
      </right>
      <top style="medium">
        <color indexed="64"/>
      </top>
      <bottom style="hair">
        <color rgb="FF24797E"/>
      </bottom>
      <diagonal/>
    </border>
    <border>
      <left style="hair">
        <color rgb="FF24797E"/>
      </left>
      <right style="medium">
        <color indexed="64"/>
      </right>
      <top style="medium">
        <color indexed="64"/>
      </top>
      <bottom style="hair">
        <color rgb="FF24797E"/>
      </bottom>
      <diagonal/>
    </border>
    <border>
      <left style="medium">
        <color indexed="64"/>
      </left>
      <right style="hair">
        <color rgb="FF24797E"/>
      </right>
      <top style="hair">
        <color rgb="FF24797E"/>
      </top>
      <bottom style="hair">
        <color rgb="FF24797E"/>
      </bottom>
      <diagonal/>
    </border>
    <border>
      <left style="hair">
        <color rgb="FF24797E"/>
      </left>
      <right style="medium">
        <color indexed="64"/>
      </right>
      <top style="hair">
        <color rgb="FF24797E"/>
      </top>
      <bottom style="hair">
        <color rgb="FF24797E"/>
      </bottom>
      <diagonal/>
    </border>
    <border>
      <left/>
      <right/>
      <top style="hair">
        <color rgb="FF24797E"/>
      </top>
      <bottom style="hair">
        <color rgb="FF24797E"/>
      </bottom>
      <diagonal/>
    </border>
    <border>
      <left style="hair">
        <color rgb="FF24797E"/>
      </left>
      <right style="hair">
        <color rgb="FF24797E"/>
      </right>
      <top/>
      <bottom/>
      <diagonal/>
    </border>
    <border>
      <left style="hair">
        <color indexed="64"/>
      </left>
      <right style="medium">
        <color indexed="64"/>
      </right>
      <top style="hair">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hair">
        <color rgb="FF24797E"/>
      </top>
      <bottom style="hair">
        <color rgb="FF24797E"/>
      </bottom>
      <diagonal/>
    </border>
    <border>
      <left style="medium">
        <color indexed="64"/>
      </left>
      <right/>
      <top style="hair">
        <color rgb="FF24797E"/>
      </top>
      <bottom style="hair">
        <color rgb="FF24797E"/>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rgb="FF24797E"/>
      </left>
      <right style="thin">
        <color rgb="FF24797E"/>
      </right>
      <top style="medium">
        <color rgb="FF24797E"/>
      </top>
      <bottom/>
      <diagonal/>
    </border>
    <border>
      <left style="thin">
        <color rgb="FF24797E"/>
      </left>
      <right/>
      <top style="medium">
        <color rgb="FF24797E"/>
      </top>
      <bottom/>
      <diagonal/>
    </border>
    <border>
      <left style="thin">
        <color rgb="FF24797E"/>
      </left>
      <right style="thin">
        <color rgb="FF24797E"/>
      </right>
      <top style="medium">
        <color rgb="FF24797E"/>
      </top>
      <bottom/>
      <diagonal/>
    </border>
    <border>
      <left/>
      <right/>
      <top style="medium">
        <color rgb="FF24797E"/>
      </top>
      <bottom/>
      <diagonal/>
    </border>
    <border>
      <left style="medium">
        <color rgb="FF24797E"/>
      </left>
      <right/>
      <top style="medium">
        <color rgb="FF24797E"/>
      </top>
      <bottom/>
      <diagonal/>
    </border>
    <border>
      <left style="medium">
        <color rgb="FF24797E"/>
      </left>
      <right style="thin">
        <color rgb="FF24797E"/>
      </right>
      <top/>
      <bottom style="medium">
        <color rgb="FF24797E"/>
      </bottom>
      <diagonal/>
    </border>
    <border>
      <left style="thin">
        <color rgb="FF24797E"/>
      </left>
      <right/>
      <top/>
      <bottom style="medium">
        <color rgb="FF24797E"/>
      </bottom>
      <diagonal/>
    </border>
    <border>
      <left style="thin">
        <color rgb="FF24797E"/>
      </left>
      <right style="thin">
        <color rgb="FF24797E"/>
      </right>
      <top/>
      <bottom style="medium">
        <color rgb="FF24797E"/>
      </bottom>
      <diagonal/>
    </border>
    <border>
      <left/>
      <right/>
      <top style="thin">
        <color rgb="FF24797E"/>
      </top>
      <bottom style="medium">
        <color rgb="FF24797E"/>
      </bottom>
      <diagonal/>
    </border>
    <border>
      <left style="dotted">
        <color rgb="FF000000"/>
      </left>
      <right/>
      <top style="thin">
        <color rgb="FF24797E"/>
      </top>
      <bottom style="medium">
        <color rgb="FF24797E"/>
      </bottom>
      <diagonal/>
    </border>
    <border>
      <left style="medium">
        <color rgb="FF24797E"/>
      </left>
      <right style="hair">
        <color rgb="FF24797E"/>
      </right>
      <top style="medium">
        <color rgb="FF24797E"/>
      </top>
      <bottom style="medium">
        <color rgb="FF24797E"/>
      </bottom>
      <diagonal/>
    </border>
    <border>
      <left style="hair">
        <color rgb="FF24797E"/>
      </left>
      <right style="medium">
        <color rgb="FF24797E"/>
      </right>
      <top style="medium">
        <color rgb="FF24797E"/>
      </top>
      <bottom style="medium">
        <color rgb="FF24797E"/>
      </bottom>
      <diagonal/>
    </border>
    <border>
      <left/>
      <right style="medium">
        <color rgb="FF24797E"/>
      </right>
      <top/>
      <bottom style="medium">
        <color rgb="FF24797E"/>
      </bottom>
      <diagonal/>
    </border>
    <border>
      <left style="medium">
        <color rgb="FF24797E"/>
      </left>
      <right/>
      <top style="medium">
        <color rgb="FF24797E"/>
      </top>
      <bottom style="medium">
        <color rgb="FF24797E"/>
      </bottom>
      <diagonal/>
    </border>
    <border>
      <left/>
      <right/>
      <top style="medium">
        <color rgb="FF24797E"/>
      </top>
      <bottom style="medium">
        <color rgb="FF24797E"/>
      </bottom>
      <diagonal/>
    </border>
    <border>
      <left style="medium">
        <color rgb="FF24797E"/>
      </left>
      <right style="hair">
        <color rgb="FF24797E"/>
      </right>
      <top/>
      <bottom/>
      <diagonal/>
    </border>
    <border>
      <left style="hair">
        <color rgb="FF24797E"/>
      </left>
      <right style="medium">
        <color rgb="FF24797E"/>
      </right>
      <top/>
      <bottom/>
      <diagonal/>
    </border>
    <border>
      <left style="thin">
        <color rgb="FF24797E"/>
      </left>
      <right style="thin">
        <color rgb="FF24797E"/>
      </right>
      <top style="dotted">
        <color rgb="FF01797E"/>
      </top>
      <bottom/>
      <diagonal/>
    </border>
    <border>
      <left/>
      <right/>
      <top style="thin">
        <color rgb="FF24797E"/>
      </top>
      <bottom style="dotted">
        <color rgb="FF01797E"/>
      </bottom>
      <diagonal/>
    </border>
    <border>
      <left/>
      <right style="thin">
        <color rgb="FF01797E"/>
      </right>
      <top style="thin">
        <color rgb="FF24797E"/>
      </top>
      <bottom style="dotted">
        <color rgb="FF01797E"/>
      </bottom>
      <diagonal/>
    </border>
    <border>
      <left style="thin">
        <color rgb="FF01797E"/>
      </left>
      <right/>
      <top style="thin">
        <color rgb="FF24797E"/>
      </top>
      <bottom style="dotted">
        <color rgb="FF01797E"/>
      </bottom>
      <diagonal/>
    </border>
    <border>
      <left style="medium">
        <color indexed="64"/>
      </left>
      <right/>
      <top style="medium">
        <color indexed="64"/>
      </top>
      <bottom/>
      <diagonal/>
    </border>
    <border>
      <left/>
      <right/>
      <top style="medium">
        <color indexed="64"/>
      </top>
      <bottom/>
      <diagonal/>
    </border>
    <border>
      <left style="medium">
        <color rgb="FF24797E"/>
      </left>
      <right style="thin">
        <color rgb="FF24797E"/>
      </right>
      <top/>
      <bottom/>
      <diagonal/>
    </border>
    <border>
      <left/>
      <right/>
      <top/>
      <bottom style="dotted">
        <color rgb="FF01797E"/>
      </bottom>
      <diagonal/>
    </border>
    <border>
      <left style="thin">
        <color rgb="FF24797E"/>
      </left>
      <right style="thin">
        <color rgb="FF24797E"/>
      </right>
      <top style="hair">
        <color rgb="FF24797E"/>
      </top>
      <bottom/>
      <diagonal/>
    </border>
    <border>
      <left style="medium">
        <color indexed="64"/>
      </left>
      <right/>
      <top/>
      <bottom/>
      <diagonal/>
    </border>
    <border>
      <left/>
      <right style="medium">
        <color indexed="64"/>
      </right>
      <top/>
      <bottom/>
      <diagonal/>
    </border>
    <border>
      <left style="medium">
        <color rgb="FF24797E"/>
      </left>
      <right style="thin">
        <color rgb="FF24797E"/>
      </right>
      <top/>
      <bottom style="dotted">
        <color rgb="FF01797E"/>
      </bottom>
      <diagonal/>
    </border>
    <border>
      <left style="thin">
        <color rgb="FF24797E"/>
      </left>
      <right style="thin">
        <color rgb="FF24797E"/>
      </right>
      <top/>
      <bottom style="dotted">
        <color rgb="FF01797E"/>
      </bottom>
      <diagonal/>
    </border>
    <border>
      <left style="medium">
        <color rgb="FF24797E"/>
      </left>
      <right style="thin">
        <color rgb="FF24797E"/>
      </right>
      <top style="dotted">
        <color rgb="FF01797E"/>
      </top>
      <bottom/>
      <diagonal/>
    </border>
    <border>
      <left/>
      <right/>
      <top style="dotted">
        <color rgb="FF01797E"/>
      </top>
      <bottom/>
      <diagonal/>
    </border>
    <border>
      <left style="medium">
        <color indexed="64"/>
      </left>
      <right/>
      <top/>
      <bottom style="medium">
        <color indexed="64"/>
      </bottom>
      <diagonal/>
    </border>
    <border>
      <left style="medium">
        <color rgb="FF24797E"/>
      </left>
      <right style="thin">
        <color rgb="FF24797E"/>
      </right>
      <top style="medium">
        <color rgb="FF24797E"/>
      </top>
      <bottom style="medium">
        <color rgb="FF24797E"/>
      </bottom>
      <diagonal/>
    </border>
    <border>
      <left style="thin">
        <color rgb="FF24797E"/>
      </left>
      <right style="thin">
        <color rgb="FF24797E"/>
      </right>
      <top style="medium">
        <color rgb="FF24797E"/>
      </top>
      <bottom style="medium">
        <color rgb="FF24797E"/>
      </bottom>
      <diagonal/>
    </border>
    <border>
      <left style="thin">
        <color rgb="FF24797E"/>
      </left>
      <right style="hair">
        <color rgb="FF24797E"/>
      </right>
      <top style="medium">
        <color rgb="FF24797E"/>
      </top>
      <bottom style="medium">
        <color rgb="FF24797E"/>
      </bottom>
      <diagonal/>
    </border>
    <border>
      <left style="hair">
        <color rgb="FF24797E"/>
      </left>
      <right style="hair">
        <color rgb="FF24797E"/>
      </right>
      <top style="medium">
        <color rgb="FF24797E"/>
      </top>
      <bottom style="medium">
        <color rgb="FF24797E"/>
      </bottom>
      <diagonal/>
    </border>
    <border>
      <left style="hair">
        <color rgb="FF24797E"/>
      </left>
      <right/>
      <top style="medium">
        <color rgb="FF24797E"/>
      </top>
      <bottom style="medium">
        <color rgb="FF24797E"/>
      </bottom>
      <diagonal/>
    </border>
    <border>
      <left style="thin">
        <color rgb="FF24797E"/>
      </left>
      <right style="thin">
        <color rgb="FF24797E"/>
      </right>
      <top style="hair">
        <color rgb="FF24797E"/>
      </top>
      <bottom style="hair">
        <color rgb="FF24797E"/>
      </bottom>
      <diagonal/>
    </border>
    <border>
      <left style="medium">
        <color rgb="FF24797E"/>
      </left>
      <right style="hair">
        <color rgb="FF24797E"/>
      </right>
      <top/>
      <bottom style="thin">
        <color rgb="FF24797E"/>
      </bottom>
      <diagonal/>
    </border>
    <border>
      <left style="medium">
        <color rgb="FF24797E"/>
      </left>
      <right style="thin">
        <color rgb="FF24797E"/>
      </right>
      <top style="thin">
        <color rgb="FF24797E"/>
      </top>
      <bottom/>
      <diagonal/>
    </border>
    <border>
      <left style="hair">
        <color rgb="FF24797E"/>
      </left>
      <right style="hair">
        <color rgb="FF24797E"/>
      </right>
      <top/>
      <bottom style="hair">
        <color rgb="FF24797E"/>
      </bottom>
      <diagonal/>
    </border>
    <border>
      <left style="thin">
        <color rgb="FF24797E"/>
      </left>
      <right style="thin">
        <color rgb="FF24797E"/>
      </right>
      <top style="hair">
        <color rgb="FF24797E"/>
      </top>
      <bottom style="thin">
        <color rgb="FF24797E"/>
      </bottom>
      <diagonal/>
    </border>
    <border>
      <left style="thin">
        <color rgb="FF24797E"/>
      </left>
      <right/>
      <top style="dotted">
        <color rgb="FF01797E"/>
      </top>
      <bottom/>
      <diagonal/>
    </border>
    <border>
      <left/>
      <right/>
      <top style="thin">
        <color rgb="FF24797E"/>
      </top>
      <bottom/>
      <diagonal/>
    </border>
    <border>
      <left/>
      <right style="thin">
        <color rgb="FF01797E"/>
      </right>
      <top style="thin">
        <color rgb="FF24797E"/>
      </top>
      <bottom/>
      <diagonal/>
    </border>
    <border>
      <left style="thin">
        <color rgb="FF01797E"/>
      </left>
      <right/>
      <top style="thin">
        <color rgb="FF24797E"/>
      </top>
      <bottom/>
      <diagonal/>
    </border>
    <border>
      <left style="medium">
        <color indexed="64"/>
      </left>
      <right style="hair">
        <color rgb="FF24797E"/>
      </right>
      <top style="hair">
        <color rgb="FF24797E"/>
      </top>
      <bottom style="medium">
        <color indexed="64"/>
      </bottom>
      <diagonal/>
    </border>
    <border>
      <left style="hair">
        <color rgb="FF24797E"/>
      </left>
      <right style="hair">
        <color rgb="FF24797E"/>
      </right>
      <top style="hair">
        <color rgb="FF24797E"/>
      </top>
      <bottom style="medium">
        <color indexed="64"/>
      </bottom>
      <diagonal/>
    </border>
    <border>
      <left/>
      <right style="thin">
        <color rgb="FF01797E"/>
      </right>
      <top style="medium">
        <color rgb="FF24797E"/>
      </top>
      <bottom style="medium">
        <color rgb="FF24797E"/>
      </bottom>
      <diagonal/>
    </border>
    <border>
      <left style="thin">
        <color rgb="FF01797E"/>
      </left>
      <right/>
      <top style="medium">
        <color rgb="FF24797E"/>
      </top>
      <bottom style="medium">
        <color rgb="FF24797E"/>
      </bottom>
      <diagonal/>
    </border>
    <border>
      <left style="thin">
        <color rgb="FF24797E"/>
      </left>
      <right style="thin">
        <color rgb="FF24797E"/>
      </right>
      <top/>
      <bottom/>
      <diagonal/>
    </border>
    <border>
      <left style="medium">
        <color rgb="FF24797E"/>
      </left>
      <right style="hair">
        <color rgb="FF24797E"/>
      </right>
      <top/>
      <bottom style="hair">
        <color rgb="FF24797E"/>
      </bottom>
      <diagonal/>
    </border>
    <border>
      <left/>
      <right style="thin">
        <color rgb="FF01797E"/>
      </right>
      <top style="medium">
        <color rgb="FF24797E"/>
      </top>
      <bottom/>
      <diagonal/>
    </border>
    <border>
      <left style="thin">
        <color rgb="FF01797E"/>
      </left>
      <right/>
      <top style="medium">
        <color rgb="FF24797E"/>
      </top>
      <bottom/>
      <diagonal/>
    </border>
    <border>
      <left style="thin">
        <color rgb="FF24797E"/>
      </left>
      <right style="thin">
        <color rgb="FF24797E"/>
      </right>
      <top style="medium">
        <color indexed="64"/>
      </top>
      <bottom/>
      <diagonal/>
    </border>
    <border>
      <left/>
      <right/>
      <top style="medium">
        <color indexed="64"/>
      </top>
      <bottom style="dotted">
        <color rgb="FF01797E"/>
      </bottom>
      <diagonal/>
    </border>
    <border>
      <left/>
      <right style="thin">
        <color rgb="FF01797E"/>
      </right>
      <top style="medium">
        <color indexed="64"/>
      </top>
      <bottom style="dotted">
        <color rgb="FF01797E"/>
      </bottom>
      <diagonal/>
    </border>
    <border>
      <left style="thin">
        <color rgb="FF01797E"/>
      </left>
      <right/>
      <top style="medium">
        <color indexed="64"/>
      </top>
      <bottom style="dotted">
        <color rgb="FF01797E"/>
      </bottom>
      <diagonal/>
    </border>
    <border>
      <left style="hair">
        <color rgb="FF24797E"/>
      </left>
      <right/>
      <top style="hair">
        <color rgb="FF24797E"/>
      </top>
      <bottom style="hair">
        <color rgb="FF24797E"/>
      </bottom>
      <diagonal/>
    </border>
    <border>
      <left style="thin">
        <color rgb="FF24797E"/>
      </left>
      <right style="thin">
        <color rgb="FF24797E"/>
      </right>
      <top style="hair">
        <color rgb="FF24797E"/>
      </top>
      <bottom style="medium">
        <color indexed="64"/>
      </bottom>
      <diagonal/>
    </border>
    <border>
      <left/>
      <right/>
      <top style="thin">
        <color rgb="FF24797E"/>
      </top>
      <bottom style="medium">
        <color indexed="64"/>
      </bottom>
      <diagonal/>
    </border>
    <border>
      <left/>
      <right style="thin">
        <color rgb="FF01797E"/>
      </right>
      <top style="thin">
        <color rgb="FF24797E"/>
      </top>
      <bottom style="medium">
        <color indexed="64"/>
      </bottom>
      <diagonal/>
    </border>
    <border>
      <left style="thin">
        <color rgb="FF01797E"/>
      </left>
      <right/>
      <top style="thin">
        <color rgb="FF24797E"/>
      </top>
      <bottom style="medium">
        <color indexed="64"/>
      </bottom>
      <diagonal/>
    </border>
    <border>
      <left/>
      <right/>
      <top/>
      <bottom style="medium">
        <color rgb="FF24797E"/>
      </bottom>
      <diagonal/>
    </border>
    <border>
      <left/>
      <right style="thin">
        <color rgb="FF01797E"/>
      </right>
      <top/>
      <bottom style="medium">
        <color rgb="FF24797E"/>
      </bottom>
      <diagonal/>
    </border>
    <border>
      <left style="thin">
        <color rgb="FF01797E"/>
      </left>
      <right/>
      <top/>
      <bottom style="medium">
        <color rgb="FF24797E"/>
      </bottom>
      <diagonal/>
    </border>
    <border>
      <left style="medium">
        <color rgb="FF24797E"/>
      </left>
      <right style="hair">
        <color rgb="FF24797E"/>
      </right>
      <top/>
      <bottom style="medium">
        <color rgb="FF24797E"/>
      </bottom>
      <diagonal/>
    </border>
    <border>
      <left style="hair">
        <color rgb="FF24797E"/>
      </left>
      <right style="hair">
        <color rgb="FF24797E"/>
      </right>
      <top/>
      <bottom style="medium">
        <color rgb="FF24797E"/>
      </bottom>
      <diagonal/>
    </border>
    <border>
      <left style="medium">
        <color indexed="64"/>
      </left>
      <right style="hair">
        <color rgb="FF24797E"/>
      </right>
      <top style="hair">
        <color rgb="FF24797E"/>
      </top>
      <bottom/>
      <diagonal/>
    </border>
    <border>
      <left style="medium">
        <color indexed="64"/>
      </left>
      <right/>
      <top style="hair">
        <color rgb="FF24797E"/>
      </top>
      <bottom/>
      <diagonal/>
    </border>
    <border>
      <left style="medium">
        <color indexed="64"/>
      </left>
      <right/>
      <top style="hair">
        <color rgb="FF24797E"/>
      </top>
      <bottom style="medium">
        <color indexed="64"/>
      </bottom>
      <diagonal/>
    </border>
    <border>
      <left style="medium">
        <color indexed="64"/>
      </left>
      <right style="hair">
        <color rgb="FF24797E"/>
      </right>
      <top/>
      <bottom style="hair">
        <color rgb="FF24797E"/>
      </bottom>
      <diagonal/>
    </border>
    <border>
      <left/>
      <right/>
      <top style="dotted">
        <color rgb="FF01797E"/>
      </top>
      <bottom style="medium">
        <color rgb="FF24797E"/>
      </bottom>
      <diagonal/>
    </border>
    <border>
      <left style="thin">
        <color rgb="FF01797E"/>
      </left>
      <right/>
      <top style="thin">
        <color rgb="FF24797E"/>
      </top>
      <bottom style="medium">
        <color rgb="FF24797E"/>
      </bottom>
      <diagonal/>
    </border>
    <border>
      <left/>
      <right style="hair">
        <color rgb="FF24797E"/>
      </right>
      <top/>
      <bottom style="medium">
        <color rgb="FF24797E"/>
      </bottom>
      <diagonal/>
    </border>
    <border>
      <left style="hair">
        <color rgb="FF24797E"/>
      </left>
      <right/>
      <top style="medium">
        <color rgb="FF24797E"/>
      </top>
      <bottom/>
      <diagonal/>
    </border>
    <border>
      <left/>
      <right style="hair">
        <color rgb="FF24797E"/>
      </right>
      <top style="medium">
        <color indexed="64"/>
      </top>
      <bottom style="hair">
        <color rgb="FF24797E"/>
      </bottom>
      <diagonal/>
    </border>
    <border>
      <left style="hair">
        <color rgb="FF24797E"/>
      </left>
      <right/>
      <top style="medium">
        <color indexed="64"/>
      </top>
      <bottom style="hair">
        <color rgb="FF24797E"/>
      </bottom>
      <diagonal/>
    </border>
    <border>
      <left/>
      <right style="hair">
        <color rgb="FF24797E"/>
      </right>
      <top style="hair">
        <color rgb="FF24797E"/>
      </top>
      <bottom style="hair">
        <color rgb="FF24797E"/>
      </bottom>
      <diagonal/>
    </border>
    <border>
      <left style="medium">
        <color indexed="64"/>
      </left>
      <right style="hair">
        <color rgb="FF24797E"/>
      </right>
      <top/>
      <bottom/>
      <diagonal/>
    </border>
    <border>
      <left style="medium">
        <color indexed="64"/>
      </left>
      <right style="hair">
        <color rgb="FF24797E"/>
      </right>
      <top/>
      <bottom style="medium">
        <color indexed="64"/>
      </bottom>
      <diagonal/>
    </border>
    <border>
      <left style="hair">
        <color rgb="FF24797E"/>
      </left>
      <right/>
      <top style="hair">
        <color rgb="FF24797E"/>
      </top>
      <bottom style="medium">
        <color indexed="64"/>
      </bottom>
      <diagonal/>
    </border>
    <border>
      <left style="hair">
        <color rgb="FF24797E"/>
      </left>
      <right style="medium">
        <color rgb="FF24797E"/>
      </right>
      <top/>
      <bottom style="hair">
        <color rgb="FF24797E"/>
      </bottom>
      <diagonal/>
    </border>
    <border>
      <left style="medium">
        <color rgb="FF24797E"/>
      </left>
      <right style="hair">
        <color rgb="FF24797E"/>
      </right>
      <top style="hair">
        <color rgb="FF24797E"/>
      </top>
      <bottom style="medium">
        <color rgb="FF24797E"/>
      </bottom>
      <diagonal/>
    </border>
    <border>
      <left style="hair">
        <color rgb="FF24797E"/>
      </left>
      <right style="hair">
        <color rgb="FF24797E"/>
      </right>
      <top style="hair">
        <color rgb="FF24797E"/>
      </top>
      <bottom style="medium">
        <color rgb="FF24797E"/>
      </bottom>
      <diagonal/>
    </border>
    <border>
      <left style="hair">
        <color rgb="FF24797E"/>
      </left>
      <right style="medium">
        <color rgb="FF24797E"/>
      </right>
      <top style="hair">
        <color rgb="FF24797E"/>
      </top>
      <bottom style="medium">
        <color rgb="FF24797E"/>
      </bottom>
      <diagonal/>
    </border>
    <border>
      <left/>
      <right style="medium">
        <color rgb="FF24797E"/>
      </right>
      <top style="medium">
        <color rgb="FF24797E"/>
      </top>
      <bottom/>
      <diagonal/>
    </border>
    <border>
      <left style="hair">
        <color rgb="FF24797E"/>
      </left>
      <right style="medium">
        <color indexed="64"/>
      </right>
      <top style="hair">
        <color rgb="FF24797E"/>
      </top>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medium">
        <color rgb="FF808080"/>
      </left>
      <right style="hair">
        <color rgb="FF808080"/>
      </right>
      <top style="medium">
        <color rgb="FF808080"/>
      </top>
      <bottom style="hair">
        <color rgb="FF808080"/>
      </bottom>
      <diagonal/>
    </border>
    <border>
      <left style="hair">
        <color rgb="FF808080"/>
      </left>
      <right style="hair">
        <color rgb="FF808080"/>
      </right>
      <top style="medium">
        <color rgb="FF808080"/>
      </top>
      <bottom style="hair">
        <color rgb="FF808080"/>
      </bottom>
      <diagonal/>
    </border>
    <border>
      <left style="hair">
        <color rgb="FF808080"/>
      </left>
      <right style="medium">
        <color rgb="FF808080"/>
      </right>
      <top style="medium">
        <color rgb="FF808080"/>
      </top>
      <bottom style="hair">
        <color rgb="FF808080"/>
      </bottom>
      <diagonal/>
    </border>
    <border>
      <left style="medium">
        <color rgb="FF808080"/>
      </left>
      <right style="hair">
        <color rgb="FF808080"/>
      </right>
      <top style="hair">
        <color rgb="FF808080"/>
      </top>
      <bottom style="hair">
        <color rgb="FF808080"/>
      </bottom>
      <diagonal/>
    </border>
    <border>
      <left style="hair">
        <color rgb="FF808080"/>
      </left>
      <right style="hair">
        <color rgb="FF808080"/>
      </right>
      <top style="hair">
        <color rgb="FF808080"/>
      </top>
      <bottom style="hair">
        <color rgb="FF808080"/>
      </bottom>
      <diagonal/>
    </border>
    <border>
      <left style="hair">
        <color rgb="FF808080"/>
      </left>
      <right style="medium">
        <color rgb="FF808080"/>
      </right>
      <top style="hair">
        <color rgb="FF808080"/>
      </top>
      <bottom style="hair">
        <color rgb="FF808080"/>
      </bottom>
      <diagonal/>
    </border>
    <border>
      <left style="medium">
        <color rgb="FF808080"/>
      </left>
      <right style="hair">
        <color rgb="FF808080"/>
      </right>
      <top style="hair">
        <color rgb="FF808080"/>
      </top>
      <bottom style="medium">
        <color rgb="FF808080"/>
      </bottom>
      <diagonal/>
    </border>
    <border>
      <left style="hair">
        <color rgb="FF808080"/>
      </left>
      <right style="hair">
        <color rgb="FF808080"/>
      </right>
      <top style="hair">
        <color rgb="FF808080"/>
      </top>
      <bottom style="medium">
        <color rgb="FF808080"/>
      </bottom>
      <diagonal/>
    </border>
    <border>
      <left style="hair">
        <color rgb="FF808080"/>
      </left>
      <right style="medium">
        <color rgb="FF808080"/>
      </right>
      <top style="hair">
        <color rgb="FF808080"/>
      </top>
      <bottom style="medium">
        <color rgb="FF808080"/>
      </bottom>
      <diagonal/>
    </border>
    <border>
      <left style="medium">
        <color indexed="64"/>
      </left>
      <right style="hair">
        <color rgb="FF24797E"/>
      </right>
      <top style="medium">
        <color indexed="64"/>
      </top>
      <bottom style="medium">
        <color indexed="64"/>
      </bottom>
      <diagonal/>
    </border>
    <border>
      <left style="medium">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medium">
        <color indexed="64"/>
      </right>
      <top style="hair">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hair">
        <color indexed="64"/>
      </left>
      <right/>
      <top style="medium">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medium">
        <color indexed="64"/>
      </bottom>
      <diagonal/>
    </border>
    <border>
      <left style="hair">
        <color rgb="FF24797E"/>
      </left>
      <right/>
      <top/>
      <bottom/>
      <diagonal/>
    </border>
    <border>
      <left style="hair">
        <color rgb="FF24797E"/>
      </left>
      <right/>
      <top/>
      <bottom style="medium">
        <color rgb="FF24797E"/>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s>
  <cellStyleXfs count="8">
    <xf numFmtId="0" fontId="0" fillId="0" borderId="0"/>
    <xf numFmtId="0" fontId="3" fillId="0" borderId="0"/>
    <xf numFmtId="43" fontId="3" fillId="0" borderId="0" applyFont="0" applyFill="0" applyBorder="0" applyAlignment="0" applyProtection="0"/>
    <xf numFmtId="0" fontId="15" fillId="0" borderId="0"/>
    <xf numFmtId="0" fontId="1" fillId="0" borderId="0"/>
    <xf numFmtId="164"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cellStyleXfs>
  <cellXfs count="734">
    <xf numFmtId="0" fontId="0" fillId="0" borderId="0" xfId="0"/>
    <xf numFmtId="0" fontId="3" fillId="0" borderId="0" xfId="1"/>
    <xf numFmtId="0" fontId="10" fillId="0" borderId="9" xfId="1" applyFont="1" applyBorder="1" applyAlignment="1">
      <alignment horizontal="left" vertical="center" wrapText="1"/>
    </xf>
    <xf numFmtId="0" fontId="10" fillId="0" borderId="10" xfId="1" applyFont="1" applyBorder="1" applyAlignment="1">
      <alignment horizontal="left" vertical="center" wrapText="1"/>
    </xf>
    <xf numFmtId="0" fontId="12" fillId="0" borderId="10" xfId="1" applyFont="1" applyBorder="1" applyAlignment="1">
      <alignment horizontal="left" vertical="center" wrapText="1"/>
    </xf>
    <xf numFmtId="0" fontId="5" fillId="0" borderId="10" xfId="1" applyFont="1" applyBorder="1" applyAlignment="1">
      <alignment horizontal="left" vertical="center" wrapText="1"/>
    </xf>
    <xf numFmtId="0" fontId="5" fillId="0" borderId="9" xfId="1" applyFont="1" applyBorder="1" applyAlignment="1">
      <alignment horizontal="left" vertical="center" wrapText="1"/>
    </xf>
    <xf numFmtId="43" fontId="5" fillId="0" borderId="10" xfId="2" applyFont="1" applyBorder="1" applyAlignment="1">
      <alignment horizontal="left" vertical="center" wrapText="1"/>
    </xf>
    <xf numFmtId="0" fontId="5" fillId="0" borderId="9" xfId="1" applyFont="1" applyBorder="1" applyAlignment="1">
      <alignment horizontal="left" wrapText="1"/>
    </xf>
    <xf numFmtId="0" fontId="7" fillId="0" borderId="10" xfId="1" applyFont="1" applyBorder="1" applyAlignment="1">
      <alignment horizontal="left" vertical="center" wrapText="1"/>
    </xf>
    <xf numFmtId="43" fontId="7" fillId="0" borderId="10" xfId="2" applyFont="1" applyBorder="1" applyAlignment="1">
      <alignment horizontal="left" vertical="center" wrapText="1"/>
    </xf>
    <xf numFmtId="43" fontId="5" fillId="0" borderId="0" xfId="1" applyNumberFormat="1" applyFont="1" applyAlignment="1">
      <alignment horizontal="left"/>
    </xf>
    <xf numFmtId="0" fontId="9" fillId="0" borderId="17" xfId="1" applyFont="1" applyBorder="1" applyAlignment="1">
      <alignment horizontal="left" vertical="center" wrapText="1"/>
    </xf>
    <xf numFmtId="43" fontId="10" fillId="0" borderId="17" xfId="2" applyFont="1" applyFill="1" applyBorder="1" applyAlignment="1">
      <alignment horizontal="left" vertical="center" wrapText="1"/>
    </xf>
    <xf numFmtId="43" fontId="5" fillId="0" borderId="11" xfId="2" applyFont="1" applyBorder="1" applyAlignment="1">
      <alignment vertical="center"/>
    </xf>
    <xf numFmtId="43" fontId="10" fillId="0" borderId="18" xfId="2" applyFont="1" applyBorder="1" applyAlignment="1">
      <alignment vertical="center"/>
    </xf>
    <xf numFmtId="43" fontId="10" fillId="0" borderId="10" xfId="2" applyFont="1" applyBorder="1" applyAlignment="1">
      <alignment horizontal="left" vertical="center" wrapText="1"/>
    </xf>
    <xf numFmtId="165" fontId="5" fillId="0" borderId="10" xfId="2" applyNumberFormat="1" applyFont="1" applyBorder="1" applyAlignment="1">
      <alignment horizontal="left" vertical="center" wrapText="1"/>
    </xf>
    <xf numFmtId="43" fontId="4" fillId="0" borderId="10" xfId="2" applyFont="1" applyBorder="1" applyAlignment="1">
      <alignment horizontal="left" vertical="center" wrapText="1"/>
    </xf>
    <xf numFmtId="43" fontId="21" fillId="0" borderId="10" xfId="2" applyFont="1" applyBorder="1" applyAlignment="1">
      <alignment horizontal="left" vertical="center"/>
    </xf>
    <xf numFmtId="43" fontId="5" fillId="0" borderId="10" xfId="2" applyFont="1" applyBorder="1" applyAlignment="1">
      <alignment horizontal="left" vertical="center"/>
    </xf>
    <xf numFmtId="43" fontId="6" fillId="0" borderId="10" xfId="2" applyFont="1" applyBorder="1" applyAlignment="1">
      <alignment horizontal="left" vertical="center"/>
    </xf>
    <xf numFmtId="43" fontId="4" fillId="0" borderId="10" xfId="2" applyFont="1" applyBorder="1" applyAlignment="1">
      <alignment horizontal="left" vertical="center"/>
    </xf>
    <xf numFmtId="43" fontId="5" fillId="0" borderId="0" xfId="2" applyFont="1" applyAlignment="1">
      <alignment horizontal="left" vertical="center"/>
    </xf>
    <xf numFmtId="166" fontId="10" fillId="0" borderId="10" xfId="2" applyNumberFormat="1" applyFont="1" applyBorder="1" applyAlignment="1">
      <alignment horizontal="left" vertical="top" wrapText="1"/>
    </xf>
    <xf numFmtId="166" fontId="5" fillId="0" borderId="10" xfId="2" applyNumberFormat="1" applyFont="1" applyBorder="1" applyAlignment="1">
      <alignment horizontal="left" vertical="top"/>
    </xf>
    <xf numFmtId="166" fontId="5" fillId="0" borderId="10" xfId="2" applyNumberFormat="1" applyFont="1" applyBorder="1" applyAlignment="1">
      <alignment horizontal="left" vertical="top" wrapText="1"/>
    </xf>
    <xf numFmtId="166" fontId="5" fillId="0" borderId="0" xfId="2" applyNumberFormat="1" applyFont="1" applyAlignment="1">
      <alignment horizontal="left" vertical="top"/>
    </xf>
    <xf numFmtId="166" fontId="10" fillId="0" borderId="10" xfId="2" applyNumberFormat="1" applyFont="1" applyBorder="1" applyAlignment="1">
      <alignment horizontal="center" vertical="top" wrapText="1"/>
    </xf>
    <xf numFmtId="43" fontId="10" fillId="0" borderId="10" xfId="2" applyFont="1" applyBorder="1" applyAlignment="1">
      <alignment horizontal="center" vertical="center" wrapText="1"/>
    </xf>
    <xf numFmtId="43" fontId="4" fillId="0" borderId="11" xfId="2" applyFont="1" applyFill="1" applyBorder="1" applyAlignment="1">
      <alignment horizontal="left" vertical="center" wrapText="1"/>
    </xf>
    <xf numFmtId="43" fontId="21" fillId="0" borderId="11" xfId="2" applyFont="1" applyFill="1" applyBorder="1" applyAlignment="1">
      <alignment horizontal="left" vertical="center"/>
    </xf>
    <xf numFmtId="43" fontId="5" fillId="0" borderId="11" xfId="2" applyFont="1" applyFill="1" applyBorder="1" applyAlignment="1">
      <alignment horizontal="left" vertical="center"/>
    </xf>
    <xf numFmtId="43" fontId="6" fillId="0" borderId="11" xfId="2" applyFont="1" applyFill="1" applyBorder="1" applyAlignment="1">
      <alignment horizontal="left" vertical="center"/>
    </xf>
    <xf numFmtId="43" fontId="4" fillId="0" borderId="11" xfId="2" applyFont="1" applyFill="1" applyBorder="1" applyAlignment="1">
      <alignment horizontal="left" vertical="center"/>
    </xf>
    <xf numFmtId="43" fontId="5" fillId="0" borderId="0" xfId="2" applyFont="1" applyFill="1" applyAlignment="1">
      <alignment horizontal="left" vertical="center"/>
    </xf>
    <xf numFmtId="43" fontId="4" fillId="0" borderId="1" xfId="2" applyFont="1" applyBorder="1" applyAlignment="1">
      <alignment horizontal="left" vertical="center"/>
    </xf>
    <xf numFmtId="43" fontId="6" fillId="0" borderId="6" xfId="2" applyFont="1" applyBorder="1" applyAlignment="1">
      <alignment horizontal="left" vertical="center"/>
    </xf>
    <xf numFmtId="43" fontId="6" fillId="0" borderId="1" xfId="2" applyFont="1" applyBorder="1" applyAlignment="1">
      <alignment horizontal="left" vertical="center"/>
    </xf>
    <xf numFmtId="43" fontId="5" fillId="0" borderId="1" xfId="2" applyFont="1" applyBorder="1" applyAlignment="1">
      <alignment horizontal="left" vertical="center"/>
    </xf>
    <xf numFmtId="43" fontId="4" fillId="0" borderId="6" xfId="2" applyFont="1" applyBorder="1" applyAlignment="1">
      <alignment horizontal="left" vertical="center"/>
    </xf>
    <xf numFmtId="43" fontId="5" fillId="0" borderId="6" xfId="2" applyFont="1" applyBorder="1" applyAlignment="1">
      <alignment horizontal="left" vertical="center"/>
    </xf>
    <xf numFmtId="43" fontId="11" fillId="0" borderId="8" xfId="2" applyFont="1" applyBorder="1" applyAlignment="1">
      <alignment horizontal="left" vertical="center"/>
    </xf>
    <xf numFmtId="43" fontId="5" fillId="0" borderId="8" xfId="2" applyFont="1" applyBorder="1" applyAlignment="1">
      <alignment horizontal="left" vertical="center"/>
    </xf>
    <xf numFmtId="43" fontId="5" fillId="0" borderId="10" xfId="2" applyFont="1" applyBorder="1" applyAlignment="1">
      <alignment horizontal="center" vertical="center"/>
    </xf>
    <xf numFmtId="43" fontId="6" fillId="0" borderId="10" xfId="2" applyFont="1" applyBorder="1" applyAlignment="1">
      <alignment horizontal="center" vertical="center"/>
    </xf>
    <xf numFmtId="43" fontId="21" fillId="0" borderId="10" xfId="2" applyFont="1" applyBorder="1" applyAlignment="1">
      <alignment horizontal="center" vertical="center"/>
    </xf>
    <xf numFmtId="43" fontId="4" fillId="0" borderId="10" xfId="2" applyFont="1" applyBorder="1" applyAlignment="1">
      <alignment horizontal="center" vertical="center" wrapText="1"/>
    </xf>
    <xf numFmtId="43" fontId="5" fillId="0" borderId="10" xfId="2" applyFont="1" applyBorder="1" applyAlignment="1">
      <alignment horizontal="center" vertical="center" wrapText="1"/>
    </xf>
    <xf numFmtId="43" fontId="5" fillId="0" borderId="10" xfId="2" applyFont="1" applyBorder="1" applyAlignment="1">
      <alignment horizontal="right" vertical="center"/>
    </xf>
    <xf numFmtId="43" fontId="6" fillId="0" borderId="10" xfId="2" applyFont="1" applyBorder="1" applyAlignment="1">
      <alignment horizontal="right" vertical="center"/>
    </xf>
    <xf numFmtId="43" fontId="4" fillId="2" borderId="10" xfId="2" applyFont="1" applyFill="1" applyBorder="1" applyAlignment="1">
      <alignment horizontal="right" vertical="center"/>
    </xf>
    <xf numFmtId="43" fontId="4" fillId="0" borderId="10" xfId="2" applyFont="1" applyBorder="1" applyAlignment="1">
      <alignment horizontal="right" vertical="center"/>
    </xf>
    <xf numFmtId="43" fontId="4" fillId="0" borderId="10" xfId="2" applyFont="1" applyBorder="1" applyAlignment="1">
      <alignment horizontal="right" vertical="top"/>
    </xf>
    <xf numFmtId="43" fontId="5" fillId="0" borderId="10" xfId="2" applyFont="1" applyBorder="1" applyAlignment="1">
      <alignment horizontal="right" vertical="top"/>
    </xf>
    <xf numFmtId="43" fontId="6" fillId="0" borderId="10" xfId="2" applyFont="1" applyBorder="1" applyAlignment="1">
      <alignment horizontal="right" vertical="top"/>
    </xf>
    <xf numFmtId="43" fontId="10" fillId="0" borderId="27" xfId="2" applyFont="1" applyBorder="1" applyAlignment="1">
      <alignment horizontal="right" vertical="center" wrapText="1"/>
    </xf>
    <xf numFmtId="43" fontId="5" fillId="0" borderId="10" xfId="2" applyFont="1" applyBorder="1" applyAlignment="1">
      <alignment horizontal="right" vertical="top" wrapText="1"/>
    </xf>
    <xf numFmtId="43" fontId="6" fillId="0" borderId="1" xfId="2" applyFont="1" applyBorder="1" applyAlignment="1">
      <alignment horizontal="center" vertical="center" wrapText="1"/>
    </xf>
    <xf numFmtId="43" fontId="10" fillId="0" borderId="29" xfId="2" applyFont="1" applyFill="1" applyBorder="1" applyAlignment="1">
      <alignment horizontal="left" vertical="center"/>
    </xf>
    <xf numFmtId="43" fontId="5" fillId="0" borderId="21" xfId="2" applyFont="1" applyFill="1" applyBorder="1" applyAlignment="1">
      <alignment horizontal="left" vertical="center"/>
    </xf>
    <xf numFmtId="43" fontId="10" fillId="0" borderId="26" xfId="2" applyFont="1" applyFill="1" applyBorder="1" applyAlignment="1">
      <alignment horizontal="center" vertical="center" wrapText="1"/>
    </xf>
    <xf numFmtId="43" fontId="10" fillId="0" borderId="26" xfId="2" applyFont="1" applyFill="1" applyBorder="1" applyAlignment="1">
      <alignment horizontal="left" vertical="center" wrapText="1"/>
    </xf>
    <xf numFmtId="43" fontId="5" fillId="0" borderId="26" xfId="2" applyFont="1" applyFill="1" applyBorder="1" applyAlignment="1">
      <alignment horizontal="left" vertical="center"/>
    </xf>
    <xf numFmtId="43" fontId="10" fillId="4" borderId="26" xfId="2" applyFont="1" applyFill="1" applyBorder="1" applyAlignment="1">
      <alignment horizontal="left" vertical="center" wrapText="1"/>
    </xf>
    <xf numFmtId="165" fontId="10" fillId="0" borderId="25" xfId="2" applyNumberFormat="1" applyFont="1" applyBorder="1" applyAlignment="1">
      <alignment horizontal="left" vertical="center" wrapText="1"/>
    </xf>
    <xf numFmtId="43" fontId="5" fillId="0" borderId="26" xfId="2" applyFont="1" applyFill="1" applyBorder="1" applyAlignment="1">
      <alignment horizontal="left" vertical="center" wrapText="1"/>
    </xf>
    <xf numFmtId="165" fontId="5" fillId="0" borderId="25" xfId="2" applyNumberFormat="1" applyFont="1" applyBorder="1" applyAlignment="1">
      <alignment horizontal="left" vertical="center" wrapText="1"/>
    </xf>
    <xf numFmtId="43" fontId="4" fillId="4" borderId="10" xfId="2" applyFont="1" applyFill="1" applyBorder="1" applyAlignment="1">
      <alignment horizontal="right" vertical="center"/>
    </xf>
    <xf numFmtId="43" fontId="5" fillId="0" borderId="26" xfId="2" applyFont="1" applyFill="1" applyBorder="1" applyAlignment="1">
      <alignment horizontal="center" vertical="center"/>
    </xf>
    <xf numFmtId="43" fontId="6" fillId="0" borderId="26" xfId="2" applyFont="1" applyFill="1" applyBorder="1" applyAlignment="1">
      <alignment horizontal="center" vertical="center"/>
    </xf>
    <xf numFmtId="43" fontId="4" fillId="4" borderId="26" xfId="2" applyFont="1" applyFill="1" applyBorder="1" applyAlignment="1">
      <alignment horizontal="center" vertical="center"/>
    </xf>
    <xf numFmtId="43" fontId="21" fillId="0" borderId="26" xfId="2" applyFont="1" applyFill="1" applyBorder="1" applyAlignment="1">
      <alignment horizontal="center" vertical="center"/>
    </xf>
    <xf numFmtId="43" fontId="4" fillId="0" borderId="26" xfId="2" applyFont="1" applyFill="1" applyBorder="1" applyAlignment="1">
      <alignment horizontal="center" vertical="center" wrapText="1"/>
    </xf>
    <xf numFmtId="43" fontId="5" fillId="0" borderId="26" xfId="2" applyFont="1" applyFill="1" applyBorder="1" applyAlignment="1">
      <alignment horizontal="center" vertical="center" wrapText="1"/>
    </xf>
    <xf numFmtId="43" fontId="10" fillId="4" borderId="26" xfId="2" applyFont="1" applyFill="1" applyBorder="1" applyAlignment="1">
      <alignment horizontal="center" vertical="center" wrapText="1"/>
    </xf>
    <xf numFmtId="43" fontId="4" fillId="4" borderId="11" xfId="2" applyFont="1" applyFill="1" applyBorder="1" applyAlignment="1">
      <alignment horizontal="left" vertical="center"/>
    </xf>
    <xf numFmtId="0" fontId="1" fillId="0" borderId="0" xfId="4"/>
    <xf numFmtId="0" fontId="32" fillId="6" borderId="36" xfId="4" applyFont="1" applyFill="1" applyBorder="1" applyAlignment="1">
      <alignment horizontal="center" vertical="center"/>
    </xf>
    <xf numFmtId="0" fontId="32" fillId="6" borderId="31" xfId="4" applyFont="1" applyFill="1" applyBorder="1" applyAlignment="1">
      <alignment horizontal="center" vertical="center"/>
    </xf>
    <xf numFmtId="0" fontId="33" fillId="0" borderId="36" xfId="4" applyFont="1" applyBorder="1" applyAlignment="1">
      <alignment vertical="center" wrapText="1"/>
    </xf>
    <xf numFmtId="9" fontId="34" fillId="0" borderId="31" xfId="4" applyNumberFormat="1" applyFont="1" applyBorder="1" applyAlignment="1">
      <alignment horizontal="center" vertical="center"/>
    </xf>
    <xf numFmtId="0" fontId="35" fillId="0" borderId="36" xfId="4" applyFont="1" applyBorder="1" applyAlignment="1">
      <alignment vertical="center" wrapText="1"/>
    </xf>
    <xf numFmtId="43" fontId="1" fillId="0" borderId="0" xfId="4" applyNumberFormat="1"/>
    <xf numFmtId="2" fontId="1" fillId="0" borderId="0" xfId="4" applyNumberFormat="1" applyAlignment="1">
      <alignment wrapText="1"/>
    </xf>
    <xf numFmtId="0" fontId="1" fillId="0" borderId="0" xfId="4" applyAlignment="1">
      <alignment wrapText="1"/>
    </xf>
    <xf numFmtId="164" fontId="1" fillId="0" borderId="0" xfId="4" applyNumberFormat="1"/>
    <xf numFmtId="4" fontId="1" fillId="0" borderId="0" xfId="4" applyNumberFormat="1" applyAlignment="1">
      <alignment wrapText="1"/>
    </xf>
    <xf numFmtId="164" fontId="2" fillId="7" borderId="0" xfId="5" applyFont="1" applyFill="1" applyAlignment="1">
      <alignment wrapText="1"/>
    </xf>
    <xf numFmtId="2" fontId="2" fillId="7" borderId="0" xfId="4" applyNumberFormat="1" applyFont="1" applyFill="1" applyAlignment="1">
      <alignment wrapText="1"/>
    </xf>
    <xf numFmtId="0" fontId="2" fillId="7" borderId="0" xfId="4" applyFont="1" applyFill="1" applyAlignment="1">
      <alignment wrapText="1"/>
    </xf>
    <xf numFmtId="164" fontId="38" fillId="8" borderId="0" xfId="5" applyFont="1" applyFill="1" applyAlignment="1">
      <alignment vertical="center" wrapText="1"/>
    </xf>
    <xf numFmtId="2" fontId="38" fillId="8" borderId="0" xfId="4" applyNumberFormat="1" applyFont="1" applyFill="1" applyAlignment="1">
      <alignment vertical="center" wrapText="1"/>
    </xf>
    <xf numFmtId="0" fontId="38" fillId="8" borderId="0" xfId="4" applyFont="1" applyFill="1" applyAlignment="1">
      <alignment vertical="center" wrapText="1"/>
    </xf>
    <xf numFmtId="164" fontId="23" fillId="0" borderId="0" xfId="5" applyFont="1" applyFill="1" applyAlignment="1">
      <alignment wrapText="1"/>
    </xf>
    <xf numFmtId="164" fontId="23" fillId="0" borderId="0" xfId="5" applyFont="1" applyFill="1" applyAlignment="1">
      <alignment vertical="center" wrapText="1"/>
    </xf>
    <xf numFmtId="2" fontId="23" fillId="0" borderId="0" xfId="4" applyNumberFormat="1" applyFont="1" applyAlignment="1">
      <alignment vertical="center" wrapText="1"/>
    </xf>
    <xf numFmtId="0" fontId="23" fillId="0" borderId="0" xfId="4" applyFont="1" applyAlignment="1">
      <alignment vertical="center" wrapText="1"/>
    </xf>
    <xf numFmtId="164" fontId="23" fillId="0" borderId="0" xfId="5" applyFont="1" applyAlignment="1">
      <alignment wrapText="1"/>
    </xf>
    <xf numFmtId="164" fontId="23" fillId="0" borderId="0" xfId="5" applyFont="1" applyAlignment="1">
      <alignment vertical="center" wrapText="1"/>
    </xf>
    <xf numFmtId="164" fontId="39" fillId="9" borderId="0" xfId="5" applyFont="1" applyFill="1" applyAlignment="1">
      <alignment wrapText="1"/>
    </xf>
    <xf numFmtId="2" fontId="39" fillId="9" borderId="0" xfId="4" applyNumberFormat="1" applyFont="1" applyFill="1" applyAlignment="1">
      <alignment wrapText="1"/>
    </xf>
    <xf numFmtId="0" fontId="38" fillId="9" borderId="0" xfId="4" applyFont="1" applyFill="1"/>
    <xf numFmtId="0" fontId="39" fillId="0" borderId="0" xfId="4" applyFont="1"/>
    <xf numFmtId="164" fontId="39" fillId="0" borderId="0" xfId="5" applyFont="1" applyAlignment="1">
      <alignment wrapText="1"/>
    </xf>
    <xf numFmtId="2" fontId="39" fillId="0" borderId="0" xfId="4" applyNumberFormat="1" applyFont="1" applyAlignment="1">
      <alignment wrapText="1"/>
    </xf>
    <xf numFmtId="0" fontId="39" fillId="0" borderId="0" xfId="4" applyFont="1" applyAlignment="1">
      <alignment wrapText="1"/>
    </xf>
    <xf numFmtId="0" fontId="24" fillId="0" borderId="0" xfId="4" applyFont="1"/>
    <xf numFmtId="164" fontId="38" fillId="9" borderId="0" xfId="5" applyFont="1" applyFill="1" applyAlignment="1">
      <alignment wrapText="1"/>
    </xf>
    <xf numFmtId="164" fontId="23" fillId="9" borderId="0" xfId="5" applyFont="1" applyFill="1" applyAlignment="1">
      <alignment wrapText="1"/>
    </xf>
    <xf numFmtId="2" fontId="23" fillId="9" borderId="0" xfId="4" applyNumberFormat="1" applyFont="1" applyFill="1" applyAlignment="1">
      <alignment wrapText="1"/>
    </xf>
    <xf numFmtId="0" fontId="24" fillId="0" borderId="0" xfId="4" applyFont="1" applyAlignment="1">
      <alignment wrapText="1"/>
    </xf>
    <xf numFmtId="164" fontId="39" fillId="0" borderId="0" xfId="5" applyFont="1"/>
    <xf numFmtId="2" fontId="39" fillId="0" borderId="0" xfId="4" applyNumberFormat="1" applyFont="1"/>
    <xf numFmtId="2" fontId="23" fillId="0" borderId="0" xfId="4" applyNumberFormat="1" applyFont="1" applyAlignment="1">
      <alignment wrapText="1"/>
    </xf>
    <xf numFmtId="0" fontId="23" fillId="0" borderId="0" xfId="4" applyFont="1" applyAlignment="1">
      <alignment wrapText="1"/>
    </xf>
    <xf numFmtId="164" fontId="38" fillId="10" borderId="0" xfId="5" applyFont="1" applyFill="1" applyAlignment="1">
      <alignment wrapText="1"/>
    </xf>
    <xf numFmtId="2" fontId="38" fillId="10" borderId="0" xfId="4" applyNumberFormat="1" applyFont="1" applyFill="1" applyAlignment="1">
      <alignment wrapText="1"/>
    </xf>
    <xf numFmtId="0" fontId="38" fillId="10" borderId="0" xfId="4" applyFont="1" applyFill="1" applyAlignment="1">
      <alignment wrapText="1"/>
    </xf>
    <xf numFmtId="0" fontId="38" fillId="10" borderId="0" xfId="4" applyFont="1" applyFill="1" applyAlignment="1">
      <alignment vertical="center" wrapText="1"/>
    </xf>
    <xf numFmtId="164" fontId="38" fillId="8" borderId="0" xfId="5" applyFont="1" applyFill="1" applyAlignment="1">
      <alignment wrapText="1"/>
    </xf>
    <xf numFmtId="2" fontId="38" fillId="8" borderId="0" xfId="4" applyNumberFormat="1" applyFont="1" applyFill="1" applyAlignment="1">
      <alignment wrapText="1"/>
    </xf>
    <xf numFmtId="0" fontId="40" fillId="0" borderId="0" xfId="4" applyFont="1" applyAlignment="1">
      <alignment vertical="center" wrapText="1"/>
    </xf>
    <xf numFmtId="0" fontId="25" fillId="0" borderId="0" xfId="4" applyFont="1" applyAlignment="1">
      <alignment horizontal="center" vertical="center" wrapText="1"/>
    </xf>
    <xf numFmtId="0" fontId="38" fillId="9" borderId="0" xfId="4" applyFont="1" applyFill="1" applyAlignment="1">
      <alignment vertical="center" wrapText="1"/>
    </xf>
    <xf numFmtId="164" fontId="40" fillId="0" borderId="0" xfId="5" applyFont="1" applyAlignment="1">
      <alignment vertical="center" wrapText="1"/>
    </xf>
    <xf numFmtId="2" fontId="40" fillId="0" borderId="0" xfId="4" applyNumberFormat="1" applyFont="1" applyAlignment="1">
      <alignment vertical="center" wrapText="1"/>
    </xf>
    <xf numFmtId="0" fontId="23" fillId="0" borderId="0" xfId="4" applyFont="1"/>
    <xf numFmtId="164" fontId="38" fillId="9" borderId="0" xfId="5" applyFont="1" applyFill="1" applyAlignment="1">
      <alignment vertical="center" wrapText="1"/>
    </xf>
    <xf numFmtId="2" fontId="38" fillId="9" borderId="0" xfId="4" applyNumberFormat="1" applyFont="1" applyFill="1" applyAlignment="1">
      <alignment vertical="center" wrapText="1"/>
    </xf>
    <xf numFmtId="0" fontId="38" fillId="9" borderId="0" xfId="4" applyFont="1" applyFill="1" applyAlignment="1">
      <alignment wrapText="1"/>
    </xf>
    <xf numFmtId="2" fontId="1" fillId="0" borderId="0" xfId="4" applyNumberFormat="1"/>
    <xf numFmtId="0" fontId="40" fillId="0" borderId="0" xfId="4" applyFont="1" applyAlignment="1">
      <alignment horizontal="center" vertical="center" wrapText="1"/>
    </xf>
    <xf numFmtId="0" fontId="25" fillId="0" borderId="0" xfId="4" applyFont="1" applyAlignment="1">
      <alignment vertical="center" wrapText="1"/>
    </xf>
    <xf numFmtId="2" fontId="23" fillId="0" borderId="0" xfId="5" applyNumberFormat="1" applyFont="1" applyAlignment="1">
      <alignment wrapText="1"/>
    </xf>
    <xf numFmtId="0" fontId="41" fillId="0" borderId="0" xfId="4" applyFont="1" applyAlignment="1">
      <alignment horizontal="right" vertical="center" wrapText="1"/>
    </xf>
    <xf numFmtId="0" fontId="2" fillId="0" borderId="0" xfId="4" applyFont="1"/>
    <xf numFmtId="2" fontId="38" fillId="9" borderId="0" xfId="4" applyNumberFormat="1" applyFont="1" applyFill="1" applyAlignment="1">
      <alignment wrapText="1"/>
    </xf>
    <xf numFmtId="164" fontId="38" fillId="11" borderId="0" xfId="5" applyFont="1" applyFill="1" applyAlignment="1">
      <alignment horizontal="center" wrapText="1"/>
    </xf>
    <xf numFmtId="2" fontId="38" fillId="11" borderId="0" xfId="4" applyNumberFormat="1" applyFont="1" applyFill="1" applyAlignment="1">
      <alignment horizontal="center" wrapText="1"/>
    </xf>
    <xf numFmtId="0" fontId="38" fillId="11" borderId="0" xfId="4" applyFont="1" applyFill="1" applyAlignment="1">
      <alignment wrapText="1"/>
    </xf>
    <xf numFmtId="0" fontId="25" fillId="11" borderId="0" xfId="4" applyFont="1" applyFill="1"/>
    <xf numFmtId="0" fontId="25" fillId="11" borderId="0" xfId="4" applyFont="1" applyFill="1" applyAlignment="1">
      <alignment wrapText="1"/>
    </xf>
    <xf numFmtId="0" fontId="42" fillId="0" borderId="37" xfId="4" applyFont="1" applyBorder="1" applyAlignment="1">
      <alignment horizontal="left" vertical="center" wrapText="1"/>
    </xf>
    <xf numFmtId="0" fontId="42" fillId="0" borderId="38" xfId="4" applyFont="1" applyBorder="1" applyAlignment="1">
      <alignment horizontal="left" vertical="center" wrapText="1"/>
    </xf>
    <xf numFmtId="0" fontId="42" fillId="0" borderId="39" xfId="4" applyFont="1" applyBorder="1" applyAlignment="1">
      <alignment horizontal="left" vertical="center" wrapText="1"/>
    </xf>
    <xf numFmtId="0" fontId="42" fillId="0" borderId="42" xfId="4" applyFont="1" applyBorder="1" applyAlignment="1">
      <alignment horizontal="center" vertical="center" wrapText="1"/>
    </xf>
    <xf numFmtId="0" fontId="42" fillId="0" borderId="43" xfId="4" applyFont="1" applyBorder="1" applyAlignment="1">
      <alignment horizontal="center" vertical="center" wrapText="1"/>
    </xf>
    <xf numFmtId="0" fontId="44" fillId="0" borderId="44" xfId="4" applyFont="1" applyBorder="1" applyAlignment="1">
      <alignment horizontal="center" vertical="center" wrapText="1"/>
    </xf>
    <xf numFmtId="164" fontId="42" fillId="0" borderId="45" xfId="5" applyFont="1" applyBorder="1" applyAlignment="1">
      <alignment horizontal="center" vertical="center" wrapText="1"/>
    </xf>
    <xf numFmtId="164" fontId="42" fillId="0" borderId="46" xfId="5" applyFont="1" applyBorder="1" applyAlignment="1">
      <alignment horizontal="center" vertical="center" wrapText="1"/>
    </xf>
    <xf numFmtId="43" fontId="42" fillId="0" borderId="47" xfId="4" applyNumberFormat="1" applyFont="1" applyBorder="1" applyAlignment="1">
      <alignment horizontal="center" vertical="center" wrapText="1"/>
    </xf>
    <xf numFmtId="43" fontId="42" fillId="0" borderId="48" xfId="4" applyNumberFormat="1" applyFont="1" applyBorder="1" applyAlignment="1">
      <alignment horizontal="center" vertical="center" wrapText="1"/>
    </xf>
    <xf numFmtId="0" fontId="45" fillId="0" borderId="52" xfId="4" applyFont="1" applyBorder="1" applyAlignment="1">
      <alignment horizontal="center" vertical="center" wrapText="1"/>
    </xf>
    <xf numFmtId="0" fontId="45" fillId="0" borderId="28" xfId="4" applyFont="1" applyBorder="1" applyAlignment="1">
      <alignment horizontal="center" vertical="center" wrapText="1"/>
    </xf>
    <xf numFmtId="43" fontId="44" fillId="0" borderId="53" xfId="4" applyNumberFormat="1" applyFont="1" applyBorder="1" applyAlignment="1">
      <alignment horizontal="left" vertical="center"/>
    </xf>
    <xf numFmtId="0" fontId="47" fillId="0" borderId="50" xfId="4" applyFont="1" applyBorder="1" applyAlignment="1">
      <alignment vertical="center"/>
    </xf>
    <xf numFmtId="0" fontId="47" fillId="0" borderId="51" xfId="4" applyFont="1" applyBorder="1" applyAlignment="1">
      <alignment vertical="center" wrapText="1"/>
    </xf>
    <xf numFmtId="0" fontId="49" fillId="0" borderId="51" xfId="4" applyFont="1" applyBorder="1" applyAlignment="1">
      <alignment vertical="center" wrapText="1"/>
    </xf>
    <xf numFmtId="164" fontId="47" fillId="0" borderId="51" xfId="5" applyFont="1" applyBorder="1" applyAlignment="1">
      <alignment vertical="center" wrapText="1"/>
    </xf>
    <xf numFmtId="43" fontId="50" fillId="0" borderId="19" xfId="4" applyNumberFormat="1" applyFont="1" applyBorder="1" applyAlignment="1">
      <alignment vertical="center" wrapText="1"/>
    </xf>
    <xf numFmtId="43" fontId="50" fillId="0" borderId="20" xfId="4" applyNumberFormat="1" applyFont="1" applyBorder="1" applyAlignment="1">
      <alignment vertical="center" wrapText="1"/>
    </xf>
    <xf numFmtId="0" fontId="52" fillId="0" borderId="0" xfId="4" applyFont="1" applyAlignment="1">
      <alignment horizontal="left" vertical="center" wrapText="1"/>
    </xf>
    <xf numFmtId="0" fontId="53" fillId="0" borderId="54" xfId="4" applyFont="1" applyBorder="1" applyAlignment="1">
      <alignment vertical="center" wrapText="1"/>
    </xf>
    <xf numFmtId="164" fontId="50" fillId="0" borderId="55" xfId="5" applyFont="1" applyBorder="1" applyAlignment="1">
      <alignment vertical="center" wrapText="1"/>
    </xf>
    <xf numFmtId="164" fontId="50" fillId="0" borderId="56" xfId="5" applyFont="1" applyBorder="1" applyAlignment="1">
      <alignment vertical="center" wrapText="1"/>
    </xf>
    <xf numFmtId="164" fontId="50" fillId="0" borderId="57" xfId="5" applyFont="1" applyBorder="1" applyAlignment="1">
      <alignment vertical="center" wrapText="1"/>
    </xf>
    <xf numFmtId="43" fontId="50" fillId="0" borderId="58" xfId="4" applyNumberFormat="1" applyFont="1" applyBorder="1" applyAlignment="1">
      <alignment vertical="center" wrapText="1"/>
    </xf>
    <xf numFmtId="0" fontId="52" fillId="0" borderId="61" xfId="4" applyFont="1" applyBorder="1" applyAlignment="1">
      <alignment horizontal="left" vertical="center" wrapText="1"/>
    </xf>
    <xf numFmtId="0" fontId="53" fillId="0" borderId="62" xfId="4" applyFont="1" applyBorder="1" applyAlignment="1">
      <alignment horizontal="left" vertical="center" wrapText="1"/>
    </xf>
    <xf numFmtId="43" fontId="50" fillId="0" borderId="63" xfId="4" applyNumberFormat="1" applyFont="1" applyBorder="1" applyAlignment="1">
      <alignment vertical="center" wrapText="1"/>
    </xf>
    <xf numFmtId="43" fontId="50" fillId="0" borderId="0" xfId="4" applyNumberFormat="1" applyFont="1" applyAlignment="1">
      <alignment vertical="center" wrapText="1"/>
    </xf>
    <xf numFmtId="0" fontId="53" fillId="0" borderId="66" xfId="4" applyFont="1" applyBorder="1" applyAlignment="1">
      <alignment horizontal="left" vertical="center" wrapText="1"/>
    </xf>
    <xf numFmtId="0" fontId="52" fillId="0" borderId="68" xfId="4" applyFont="1" applyBorder="1" applyAlignment="1">
      <alignment vertical="center" wrapText="1"/>
    </xf>
    <xf numFmtId="43" fontId="50" fillId="0" borderId="69" xfId="4" applyNumberFormat="1" applyFont="1" applyBorder="1" applyAlignment="1">
      <alignment vertical="center" wrapText="1"/>
    </xf>
    <xf numFmtId="43" fontId="50" fillId="0" borderId="30" xfId="4" applyNumberFormat="1" applyFont="1" applyBorder="1" applyAlignment="1">
      <alignment vertical="center" wrapText="1"/>
    </xf>
    <xf numFmtId="0" fontId="47" fillId="12" borderId="70" xfId="4" applyFont="1" applyFill="1" applyBorder="1" applyAlignment="1">
      <alignment vertical="center" wrapText="1"/>
    </xf>
    <xf numFmtId="0" fontId="49" fillId="12" borderId="51" xfId="4" applyFont="1" applyFill="1" applyBorder="1" applyAlignment="1">
      <alignment vertical="center" wrapText="1"/>
    </xf>
    <xf numFmtId="0" fontId="49" fillId="12" borderId="71" xfId="4" applyFont="1" applyFill="1" applyBorder="1" applyAlignment="1">
      <alignment vertical="center" wrapText="1"/>
    </xf>
    <xf numFmtId="164" fontId="50" fillId="0" borderId="72" xfId="5" applyFont="1" applyBorder="1" applyAlignment="1">
      <alignment vertical="center" wrapText="1"/>
    </xf>
    <xf numFmtId="164" fontId="50" fillId="0" borderId="73" xfId="5" applyFont="1" applyBorder="1" applyAlignment="1">
      <alignment vertical="center" wrapText="1"/>
    </xf>
    <xf numFmtId="164" fontId="50" fillId="0" borderId="74" xfId="5" applyFont="1" applyBorder="1" applyAlignment="1">
      <alignment vertical="center" wrapText="1"/>
    </xf>
    <xf numFmtId="43" fontId="50" fillId="0" borderId="52" xfId="4" applyNumberFormat="1" applyFont="1" applyBorder="1" applyAlignment="1">
      <alignment vertical="center" wrapText="1"/>
    </xf>
    <xf numFmtId="43" fontId="50" fillId="0" borderId="28" xfId="4" applyNumberFormat="1" applyFont="1" applyBorder="1" applyAlignment="1">
      <alignment vertical="center" wrapText="1"/>
    </xf>
    <xf numFmtId="0" fontId="53" fillId="0" borderId="75" xfId="4" applyFont="1" applyBorder="1" applyAlignment="1">
      <alignment horizontal="left" vertical="center" wrapText="1"/>
    </xf>
    <xf numFmtId="43" fontId="50" fillId="0" borderId="22" xfId="4" applyNumberFormat="1" applyFont="1" applyBorder="1" applyAlignment="1">
      <alignment vertical="center" wrapText="1"/>
    </xf>
    <xf numFmtId="43" fontId="53" fillId="0" borderId="23" xfId="4" applyNumberFormat="1" applyFont="1" applyBorder="1" applyAlignment="1">
      <alignment vertical="center"/>
    </xf>
    <xf numFmtId="43" fontId="50" fillId="0" borderId="25" xfId="4" applyNumberFormat="1" applyFont="1" applyBorder="1" applyAlignment="1">
      <alignment vertical="center" wrapText="1"/>
    </xf>
    <xf numFmtId="43" fontId="50" fillId="0" borderId="13" xfId="4" applyNumberFormat="1" applyFont="1" applyBorder="1" applyAlignment="1">
      <alignment vertical="center" wrapText="1"/>
    </xf>
    <xf numFmtId="43" fontId="50" fillId="0" borderId="78" xfId="4" applyNumberFormat="1" applyFont="1" applyBorder="1" applyAlignment="1">
      <alignment vertical="center" wrapText="1"/>
    </xf>
    <xf numFmtId="43" fontId="50" fillId="0" borderId="10" xfId="4" applyNumberFormat="1" applyFont="1" applyBorder="1" applyAlignment="1">
      <alignment vertical="center" wrapText="1"/>
    </xf>
    <xf numFmtId="0" fontId="53" fillId="0" borderId="79" xfId="4" applyFont="1" applyBorder="1" applyAlignment="1">
      <alignment horizontal="left" vertical="center" wrapText="1"/>
    </xf>
    <xf numFmtId="0" fontId="52" fillId="0" borderId="80" xfId="4" applyFont="1" applyBorder="1" applyAlignment="1">
      <alignment vertical="center" wrapText="1"/>
    </xf>
    <xf numFmtId="164" fontId="50" fillId="0" borderId="81" xfId="5" applyFont="1" applyBorder="1" applyAlignment="1">
      <alignment vertical="center" wrapText="1"/>
    </xf>
    <xf numFmtId="164" fontId="50" fillId="0" borderId="82" xfId="5" applyFont="1" applyBorder="1" applyAlignment="1">
      <alignment vertical="center" wrapText="1"/>
    </xf>
    <xf numFmtId="164" fontId="50" fillId="0" borderId="83" xfId="5" applyFont="1" applyBorder="1" applyAlignment="1">
      <alignment vertical="center" wrapText="1"/>
    </xf>
    <xf numFmtId="43" fontId="50" fillId="0" borderId="84" xfId="4" applyNumberFormat="1" applyFont="1" applyBorder="1" applyAlignment="1">
      <alignment vertical="center" wrapText="1"/>
    </xf>
    <xf numFmtId="43" fontId="50" fillId="0" borderId="85" xfId="4" applyNumberFormat="1" applyFont="1" applyBorder="1" applyAlignment="1">
      <alignment vertical="center" wrapText="1"/>
    </xf>
    <xf numFmtId="0" fontId="47" fillId="0" borderId="70" xfId="4" applyFont="1" applyBorder="1" applyAlignment="1">
      <alignment vertical="center"/>
    </xf>
    <xf numFmtId="0" fontId="47" fillId="0" borderId="51" xfId="4" applyFont="1" applyBorder="1" applyAlignment="1">
      <alignment vertical="center"/>
    </xf>
    <xf numFmtId="0" fontId="49" fillId="0" borderId="71" xfId="4" applyFont="1" applyBorder="1" applyAlignment="1">
      <alignment vertical="center"/>
    </xf>
    <xf numFmtId="164" fontId="50" fillId="0" borderId="51" xfId="5" applyFont="1" applyBorder="1" applyAlignment="1">
      <alignment vertical="center"/>
    </xf>
    <xf numFmtId="164" fontId="50" fillId="0" borderId="86" xfId="5" applyFont="1" applyBorder="1" applyAlignment="1">
      <alignment vertical="center"/>
    </xf>
    <xf numFmtId="164" fontId="50" fillId="0" borderId="87" xfId="5" applyFont="1" applyBorder="1" applyAlignment="1">
      <alignment vertical="center"/>
    </xf>
    <xf numFmtId="43" fontId="50" fillId="0" borderId="23" xfId="4" applyNumberFormat="1" applyFont="1" applyBorder="1" applyAlignment="1">
      <alignment vertical="center" wrapText="1"/>
    </xf>
    <xf numFmtId="0" fontId="53" fillId="0" borderId="88" xfId="4" applyFont="1" applyBorder="1" applyAlignment="1">
      <alignment vertical="center" wrapText="1"/>
    </xf>
    <xf numFmtId="0" fontId="47" fillId="0" borderId="37" xfId="4" applyFont="1" applyBorder="1" applyAlignment="1">
      <alignment vertical="center" wrapText="1"/>
    </xf>
    <xf numFmtId="0" fontId="47" fillId="0" borderId="40" xfId="4" applyFont="1" applyBorder="1" applyAlignment="1">
      <alignment vertical="center" wrapText="1"/>
    </xf>
    <xf numFmtId="0" fontId="49" fillId="0" borderId="39" xfId="4" applyFont="1" applyBorder="1" applyAlignment="1">
      <alignment vertical="center" wrapText="1"/>
    </xf>
    <xf numFmtId="164" fontId="50" fillId="0" borderId="40" xfId="5" applyFont="1" applyBorder="1" applyAlignment="1">
      <alignment vertical="center" wrapText="1"/>
    </xf>
    <xf numFmtId="164" fontId="50" fillId="0" borderId="90" xfId="5" applyFont="1" applyBorder="1" applyAlignment="1">
      <alignment vertical="center" wrapText="1"/>
    </xf>
    <xf numFmtId="164" fontId="50" fillId="0" borderId="91" xfId="5" applyFont="1" applyBorder="1" applyAlignment="1">
      <alignment vertical="center" wrapText="1"/>
    </xf>
    <xf numFmtId="0" fontId="52" fillId="0" borderId="59" xfId="4" applyFont="1" applyBorder="1" applyAlignment="1">
      <alignment horizontal="left" vertical="center" wrapText="1"/>
    </xf>
    <xf numFmtId="0" fontId="53" fillId="0" borderId="92" xfId="4" applyFont="1" applyBorder="1" applyAlignment="1">
      <alignment vertical="center" wrapText="1"/>
    </xf>
    <xf numFmtId="164" fontId="50" fillId="0" borderId="93" xfId="5" applyFont="1" applyBorder="1" applyAlignment="1">
      <alignment vertical="center" wrapText="1"/>
    </xf>
    <xf numFmtId="164" fontId="50" fillId="0" borderId="94" xfId="5" applyFont="1" applyBorder="1" applyAlignment="1">
      <alignment vertical="center" wrapText="1"/>
    </xf>
    <xf numFmtId="164" fontId="50" fillId="0" borderId="95" xfId="5" applyFont="1" applyBorder="1" applyAlignment="1">
      <alignment vertical="center" wrapText="1"/>
    </xf>
    <xf numFmtId="43" fontId="50" fillId="0" borderId="96" xfId="4" applyNumberFormat="1" applyFont="1" applyBorder="1" applyAlignment="1">
      <alignment vertical="center" wrapText="1"/>
    </xf>
    <xf numFmtId="0" fontId="52" fillId="0" borderId="30" xfId="4" applyFont="1" applyBorder="1" applyAlignment="1">
      <alignment horizontal="left" vertical="center" wrapText="1"/>
    </xf>
    <xf numFmtId="0" fontId="53" fillId="0" borderId="97" xfId="4" applyFont="1" applyBorder="1" applyAlignment="1">
      <alignment horizontal="left" vertical="center" wrapText="1"/>
    </xf>
    <xf numFmtId="164" fontId="50" fillId="0" borderId="98" xfId="5" applyFont="1" applyBorder="1" applyAlignment="1">
      <alignment vertical="center" wrapText="1"/>
    </xf>
    <xf numFmtId="164" fontId="50" fillId="0" borderId="99" xfId="5" applyFont="1" applyBorder="1" applyAlignment="1">
      <alignment vertical="center" wrapText="1"/>
    </xf>
    <xf numFmtId="164" fontId="50" fillId="0" borderId="100" xfId="5" applyFont="1" applyBorder="1" applyAlignment="1">
      <alignment vertical="center" wrapText="1"/>
    </xf>
    <xf numFmtId="0" fontId="47" fillId="0" borderId="42" xfId="4" applyFont="1" applyBorder="1" applyAlignment="1">
      <alignment vertical="center" wrapText="1"/>
    </xf>
    <xf numFmtId="0" fontId="47" fillId="0" borderId="101" xfId="4" applyFont="1" applyBorder="1" applyAlignment="1">
      <alignment vertical="center" wrapText="1"/>
    </xf>
    <xf numFmtId="0" fontId="49" fillId="0" borderId="44" xfId="4" applyFont="1" applyBorder="1" applyAlignment="1">
      <alignment vertical="center" wrapText="1"/>
    </xf>
    <xf numFmtId="164" fontId="50" fillId="0" borderId="101" xfId="5" applyFont="1" applyBorder="1" applyAlignment="1">
      <alignment vertical="center" wrapText="1"/>
    </xf>
    <xf numFmtId="164" fontId="50" fillId="0" borderId="102" xfId="5" applyFont="1" applyBorder="1" applyAlignment="1">
      <alignment vertical="center" wrapText="1"/>
    </xf>
    <xf numFmtId="164" fontId="50" fillId="0" borderId="103" xfId="5" applyFont="1" applyBorder="1" applyAlignment="1">
      <alignment vertical="center" wrapText="1"/>
    </xf>
    <xf numFmtId="43" fontId="50" fillId="0" borderId="104" xfId="4" applyNumberFormat="1" applyFont="1" applyBorder="1" applyAlignment="1">
      <alignment vertical="center" wrapText="1"/>
    </xf>
    <xf numFmtId="43" fontId="50" fillId="0" borderId="105" xfId="4" applyNumberFormat="1" applyFont="1" applyBorder="1" applyAlignment="1">
      <alignment vertical="center" wrapText="1"/>
    </xf>
    <xf numFmtId="43" fontId="50" fillId="0" borderId="9" xfId="4" applyNumberFormat="1" applyFont="1" applyBorder="1" applyAlignment="1">
      <alignment vertical="center" wrapText="1"/>
    </xf>
    <xf numFmtId="0" fontId="53" fillId="0" borderId="66" xfId="4" applyFont="1" applyBorder="1" applyAlignment="1">
      <alignment vertical="center" wrapText="1"/>
    </xf>
    <xf numFmtId="43" fontId="50" fillId="0" borderId="12" xfId="4" applyNumberFormat="1" applyFont="1" applyBorder="1" applyAlignment="1">
      <alignment vertical="center" wrapText="1"/>
    </xf>
    <xf numFmtId="0" fontId="49" fillId="0" borderId="71" xfId="4" applyFont="1" applyBorder="1" applyAlignment="1">
      <alignment vertical="center" wrapText="1"/>
    </xf>
    <xf numFmtId="164" fontId="50" fillId="0" borderId="51" xfId="5" applyFont="1" applyBorder="1" applyAlignment="1">
      <alignment vertical="center" wrapText="1"/>
    </xf>
    <xf numFmtId="164" fontId="50" fillId="0" borderId="86" xfId="5" applyFont="1" applyBorder="1" applyAlignment="1">
      <alignment vertical="center" wrapText="1"/>
    </xf>
    <xf numFmtId="164" fontId="50" fillId="0" borderId="87" xfId="5" applyFont="1" applyBorder="1" applyAlignment="1">
      <alignment vertical="center" wrapText="1"/>
    </xf>
    <xf numFmtId="43" fontId="50" fillId="0" borderId="106" xfId="4" applyNumberFormat="1" applyFont="1" applyBorder="1" applyAlignment="1">
      <alignment vertical="center" wrapText="1"/>
    </xf>
    <xf numFmtId="43" fontId="53" fillId="0" borderId="10" xfId="4" applyNumberFormat="1" applyFont="1" applyBorder="1" applyAlignment="1">
      <alignment vertical="center"/>
    </xf>
    <xf numFmtId="43" fontId="53" fillId="0" borderId="13" xfId="4" applyNumberFormat="1" applyFont="1" applyBorder="1" applyAlignment="1">
      <alignment vertical="center"/>
    </xf>
    <xf numFmtId="43" fontId="50" fillId="0" borderId="107" xfId="4" applyNumberFormat="1" applyFont="1" applyBorder="1" applyAlignment="1">
      <alignment vertical="center" wrapText="1"/>
    </xf>
    <xf numFmtId="43" fontId="53" fillId="0" borderId="78" xfId="4" applyNumberFormat="1" applyFont="1" applyBorder="1" applyAlignment="1">
      <alignment vertical="center"/>
    </xf>
    <xf numFmtId="43" fontId="50" fillId="0" borderId="108" xfId="4" applyNumberFormat="1" applyFont="1" applyBorder="1" applyAlignment="1">
      <alignment vertical="center" wrapText="1"/>
    </xf>
    <xf numFmtId="0" fontId="47" fillId="0" borderId="70" xfId="4" applyFont="1" applyBorder="1" applyAlignment="1">
      <alignment vertical="center" wrapText="1"/>
    </xf>
    <xf numFmtId="43" fontId="53" fillId="0" borderId="28" xfId="4" applyNumberFormat="1" applyFont="1" applyBorder="1" applyAlignment="1">
      <alignment vertical="center"/>
    </xf>
    <xf numFmtId="43" fontId="53" fillId="0" borderId="59" xfId="4" applyNumberFormat="1" applyFont="1" applyBorder="1" applyAlignment="1">
      <alignment vertical="center"/>
    </xf>
    <xf numFmtId="43" fontId="53" fillId="0" borderId="0" xfId="4" applyNumberFormat="1" applyFont="1" applyAlignment="1">
      <alignment vertical="center"/>
    </xf>
    <xf numFmtId="0" fontId="53" fillId="0" borderId="88" xfId="4" applyFont="1" applyBorder="1" applyAlignment="1">
      <alignment horizontal="left" vertical="center" wrapText="1"/>
    </xf>
    <xf numFmtId="43" fontId="50" fillId="0" borderId="109" xfId="4" applyNumberFormat="1" applyFont="1" applyBorder="1" applyAlignment="1">
      <alignment vertical="center" wrapText="1"/>
    </xf>
    <xf numFmtId="0" fontId="52" fillId="0" borderId="110" xfId="4" applyFont="1" applyBorder="1" applyAlignment="1">
      <alignment vertical="center" wrapText="1"/>
    </xf>
    <xf numFmtId="0" fontId="53" fillId="0" borderId="44" xfId="4" applyFont="1" applyBorder="1" applyAlignment="1">
      <alignment vertical="center" wrapText="1"/>
    </xf>
    <xf numFmtId="164" fontId="50" fillId="0" borderId="45" xfId="5" applyFont="1" applyBorder="1" applyAlignment="1">
      <alignment vertical="center" wrapText="1"/>
    </xf>
    <xf numFmtId="164" fontId="50" fillId="0" borderId="111" xfId="5" applyFont="1" applyBorder="1" applyAlignment="1">
      <alignment vertical="center" wrapText="1"/>
    </xf>
    <xf numFmtId="0" fontId="52" fillId="13" borderId="50" xfId="4" applyFont="1" applyFill="1" applyBorder="1" applyAlignment="1">
      <alignment horizontal="left" vertical="center"/>
    </xf>
    <xf numFmtId="0" fontId="52" fillId="13" borderId="51" xfId="4" applyFont="1" applyFill="1" applyBorder="1" applyAlignment="1">
      <alignment horizontal="left" vertical="center"/>
    </xf>
    <xf numFmtId="0" fontId="53" fillId="13" borderId="51" xfId="4" applyFont="1" applyFill="1" applyBorder="1" applyAlignment="1">
      <alignment horizontal="left" vertical="center"/>
    </xf>
    <xf numFmtId="164" fontId="52" fillId="13" borderId="51" xfId="5" applyFont="1" applyFill="1" applyBorder="1" applyAlignment="1">
      <alignment vertical="center"/>
    </xf>
    <xf numFmtId="43" fontId="42" fillId="13" borderId="112" xfId="4" applyNumberFormat="1" applyFont="1" applyFill="1" applyBorder="1" applyAlignment="1">
      <alignment vertical="center"/>
    </xf>
    <xf numFmtId="0" fontId="42" fillId="0" borderId="19" xfId="4" applyFont="1" applyBorder="1" applyAlignment="1">
      <alignment horizontal="left" vertical="center"/>
    </xf>
    <xf numFmtId="0" fontId="53" fillId="0" borderId="20" xfId="4" applyFont="1" applyBorder="1" applyAlignment="1">
      <alignment horizontal="left" vertical="center"/>
    </xf>
    <xf numFmtId="164" fontId="53" fillId="0" borderId="20" xfId="5" applyFont="1" applyBorder="1" applyAlignment="1">
      <alignment vertical="center"/>
    </xf>
    <xf numFmtId="164" fontId="53" fillId="0" borderId="113" xfId="5" applyFont="1" applyBorder="1" applyAlignment="1">
      <alignment vertical="center"/>
    </xf>
    <xf numFmtId="43" fontId="53" fillId="0" borderId="19" xfId="4" applyNumberFormat="1" applyFont="1" applyBorder="1" applyAlignment="1">
      <alignment vertical="center"/>
    </xf>
    <xf numFmtId="43" fontId="53" fillId="0" borderId="20" xfId="4" applyNumberFormat="1" applyFont="1" applyBorder="1" applyAlignment="1">
      <alignment vertical="center"/>
    </xf>
    <xf numFmtId="0" fontId="53" fillId="0" borderId="59" xfId="4" applyFont="1" applyBorder="1" applyAlignment="1">
      <alignment horizontal="left" vertical="center"/>
    </xf>
    <xf numFmtId="0" fontId="53" fillId="0" borderId="59" xfId="4" applyFont="1" applyBorder="1" applyAlignment="1">
      <alignment horizontal="left" vertical="center" wrapText="1"/>
    </xf>
    <xf numFmtId="164" fontId="44" fillId="0" borderId="114" xfId="5" applyFont="1" applyFill="1" applyBorder="1" applyAlignment="1">
      <alignment horizontal="left" vertical="center"/>
    </xf>
    <xf numFmtId="164" fontId="44" fillId="0" borderId="23" xfId="5" applyFont="1" applyFill="1" applyBorder="1" applyAlignment="1">
      <alignment horizontal="left" vertical="center"/>
    </xf>
    <xf numFmtId="164" fontId="44" fillId="0" borderId="115" xfId="5" applyFont="1" applyFill="1" applyBorder="1" applyAlignment="1">
      <alignment horizontal="left" vertical="center"/>
    </xf>
    <xf numFmtId="43" fontId="44" fillId="0" borderId="58" xfId="4" applyNumberFormat="1" applyFont="1" applyBorder="1" applyAlignment="1">
      <alignment vertical="center"/>
    </xf>
    <xf numFmtId="43" fontId="44" fillId="0" borderId="59" xfId="4" applyNumberFormat="1" applyFont="1" applyBorder="1" applyAlignment="1">
      <alignment vertical="center"/>
    </xf>
    <xf numFmtId="0" fontId="53" fillId="0" borderId="0" xfId="4" applyFont="1" applyAlignment="1">
      <alignment horizontal="left" vertical="center"/>
    </xf>
    <xf numFmtId="0" fontId="53" fillId="0" borderId="0" xfId="4" applyFont="1" applyAlignment="1">
      <alignment horizontal="left" vertical="center" wrapText="1"/>
    </xf>
    <xf numFmtId="164" fontId="44" fillId="0" borderId="116" xfId="5" applyFont="1" applyFill="1" applyBorder="1" applyAlignment="1">
      <alignment horizontal="left" vertical="center"/>
    </xf>
    <xf numFmtId="164" fontId="44" fillId="0" borderId="10" xfId="5" applyFont="1" applyFill="1" applyBorder="1" applyAlignment="1">
      <alignment horizontal="left" vertical="center"/>
    </xf>
    <xf numFmtId="164" fontId="44" fillId="0" borderId="96" xfId="5" applyFont="1" applyFill="1" applyBorder="1" applyAlignment="1">
      <alignment horizontal="left" vertical="center"/>
    </xf>
    <xf numFmtId="43" fontId="44" fillId="0" borderId="63" xfId="4" applyNumberFormat="1" applyFont="1" applyBorder="1" applyAlignment="1">
      <alignment vertical="center"/>
    </xf>
    <xf numFmtId="43" fontId="44" fillId="0" borderId="0" xfId="4" applyNumberFormat="1" applyFont="1" applyAlignment="1">
      <alignment vertical="center"/>
    </xf>
    <xf numFmtId="0" fontId="53" fillId="0" borderId="78" xfId="4" applyFont="1" applyBorder="1" applyAlignment="1">
      <alignment horizontal="left" vertical="center"/>
    </xf>
    <xf numFmtId="0" fontId="53" fillId="0" borderId="78" xfId="4" applyFont="1" applyBorder="1" applyAlignment="1">
      <alignment horizontal="left" vertical="center" wrapText="1"/>
    </xf>
    <xf numFmtId="0" fontId="53" fillId="0" borderId="10" xfId="4" applyFont="1" applyBorder="1" applyAlignment="1">
      <alignment horizontal="left" vertical="center"/>
    </xf>
    <xf numFmtId="0" fontId="53" fillId="0" borderId="10" xfId="4" applyFont="1" applyBorder="1" applyAlignment="1">
      <alignment horizontal="left" vertical="center" wrapText="1"/>
    </xf>
    <xf numFmtId="0" fontId="53" fillId="0" borderId="85" xfId="4" applyFont="1" applyBorder="1" applyAlignment="1">
      <alignment horizontal="left" vertical="center"/>
    </xf>
    <xf numFmtId="0" fontId="53" fillId="0" borderId="85" xfId="4" applyFont="1" applyBorder="1" applyAlignment="1">
      <alignment horizontal="left" vertical="center" wrapText="1"/>
    </xf>
    <xf numFmtId="164" fontId="44" fillId="0" borderId="85" xfId="5" applyFont="1" applyFill="1" applyBorder="1" applyAlignment="1">
      <alignment horizontal="left" vertical="center"/>
    </xf>
    <xf numFmtId="164" fontId="44" fillId="0" borderId="119" xfId="5" applyFont="1" applyFill="1" applyBorder="1" applyAlignment="1">
      <alignment horizontal="left" vertical="center"/>
    </xf>
    <xf numFmtId="164" fontId="44" fillId="0" borderId="0" xfId="5" applyFont="1" applyAlignment="1">
      <alignment vertical="center"/>
    </xf>
    <xf numFmtId="164" fontId="53" fillId="0" borderId="0" xfId="5" applyFont="1" applyAlignment="1">
      <alignment vertical="center"/>
    </xf>
    <xf numFmtId="43" fontId="53" fillId="0" borderId="89" xfId="4" applyNumberFormat="1" applyFont="1" applyBorder="1" applyAlignment="1">
      <alignment vertical="center"/>
    </xf>
    <xf numFmtId="43" fontId="44" fillId="0" borderId="120" xfId="4" applyNumberFormat="1" applyFont="1" applyBorder="1" applyAlignment="1">
      <alignment horizontal="left" vertical="center"/>
    </xf>
    <xf numFmtId="164" fontId="42" fillId="0" borderId="0" xfId="5" applyFont="1" applyAlignment="1">
      <alignment vertical="center"/>
    </xf>
    <xf numFmtId="43" fontId="42" fillId="0" borderId="121" xfId="4" applyNumberFormat="1" applyFont="1" applyBorder="1" applyAlignment="1">
      <alignment vertical="center"/>
    </xf>
    <xf numFmtId="43" fontId="42" fillId="0" borderId="122" xfId="4" applyNumberFormat="1" applyFont="1" applyBorder="1" applyAlignment="1">
      <alignment vertical="center"/>
    </xf>
    <xf numFmtId="43" fontId="42" fillId="0" borderId="123" xfId="4" applyNumberFormat="1" applyFont="1" applyBorder="1" applyAlignment="1">
      <alignment horizontal="left" vertical="center"/>
    </xf>
    <xf numFmtId="43" fontId="42" fillId="0" borderId="0" xfId="4" applyNumberFormat="1" applyFont="1" applyAlignment="1">
      <alignment vertical="center"/>
    </xf>
    <xf numFmtId="43" fontId="44" fillId="0" borderId="0" xfId="4" applyNumberFormat="1" applyFont="1" applyAlignment="1">
      <alignment horizontal="left" vertical="center"/>
    </xf>
    <xf numFmtId="2" fontId="4" fillId="0" borderId="5" xfId="0" applyNumberFormat="1" applyFont="1" applyBorder="1" applyAlignment="1">
      <alignment horizontal="center" vertical="center"/>
    </xf>
    <xf numFmtId="0" fontId="4" fillId="0" borderId="1" xfId="0" applyFont="1" applyBorder="1" applyAlignment="1">
      <alignment vertical="center" wrapText="1"/>
    </xf>
    <xf numFmtId="0" fontId="4" fillId="0" borderId="1" xfId="0" applyFont="1" applyBorder="1" applyAlignment="1">
      <alignment horizontal="center" vertical="center"/>
    </xf>
    <xf numFmtId="2" fontId="6" fillId="0" borderId="5" xfId="0" applyNumberFormat="1" applyFont="1" applyBorder="1" applyAlignment="1">
      <alignment horizontal="center" vertical="center"/>
    </xf>
    <xf numFmtId="0" fontId="6" fillId="0" borderId="1" xfId="0" applyFont="1" applyBorder="1" applyAlignment="1">
      <alignment vertical="center" wrapText="1"/>
    </xf>
    <xf numFmtId="0" fontId="6" fillId="0" borderId="1" xfId="0" applyFont="1" applyBorder="1" applyAlignment="1">
      <alignment horizontal="center" vertical="center"/>
    </xf>
    <xf numFmtId="0" fontId="5" fillId="0" borderId="1" xfId="0" applyFont="1" applyBorder="1" applyAlignment="1">
      <alignment vertical="center" wrapText="1"/>
    </xf>
    <xf numFmtId="0" fontId="5" fillId="0" borderId="1" xfId="0" applyFont="1" applyBorder="1" applyAlignment="1">
      <alignment horizontal="center" vertical="center"/>
    </xf>
    <xf numFmtId="0" fontId="7" fillId="0" borderId="1" xfId="0" applyFont="1" applyBorder="1" applyAlignment="1">
      <alignment vertical="top" wrapText="1"/>
    </xf>
    <xf numFmtId="0" fontId="7" fillId="0" borderId="1" xfId="0" applyFont="1" applyBorder="1" applyAlignment="1">
      <alignment horizontal="center" vertical="top"/>
    </xf>
    <xf numFmtId="2" fontId="10" fillId="0" borderId="5" xfId="0" applyNumberFormat="1" applyFont="1" applyBorder="1" applyAlignment="1">
      <alignment horizontal="center" vertical="center"/>
    </xf>
    <xf numFmtId="0" fontId="8" fillId="0" borderId="1" xfId="0" applyFont="1" applyBorder="1" applyAlignment="1">
      <alignment vertical="top" wrapText="1"/>
    </xf>
    <xf numFmtId="0" fontId="11" fillId="0" borderId="7" xfId="0" applyFont="1" applyBorder="1" applyAlignment="1">
      <alignment horizontal="center" vertical="center"/>
    </xf>
    <xf numFmtId="0" fontId="11" fillId="0" borderId="8" xfId="0" applyFont="1" applyBorder="1" applyAlignment="1">
      <alignment horizontal="center" vertical="center"/>
    </xf>
    <xf numFmtId="2" fontId="5" fillId="0" borderId="0" xfId="0" applyNumberFormat="1" applyFont="1" applyAlignment="1">
      <alignment horizontal="center"/>
    </xf>
    <xf numFmtId="0" fontId="5" fillId="0" borderId="0" xfId="0" applyFont="1"/>
    <xf numFmtId="0" fontId="5" fillId="0" borderId="0" xfId="0" applyFont="1" applyAlignment="1">
      <alignment horizontal="center"/>
    </xf>
    <xf numFmtId="0" fontId="5" fillId="0" borderId="19" xfId="0" applyFont="1" applyBorder="1" applyAlignment="1">
      <alignment horizontal="left" vertical="center"/>
    </xf>
    <xf numFmtId="0" fontId="10" fillId="0" borderId="22" xfId="0" applyFont="1" applyBorder="1" applyAlignment="1">
      <alignment vertical="center" wrapText="1"/>
    </xf>
    <xf numFmtId="0" fontId="4" fillId="0" borderId="23" xfId="0" applyFont="1" applyBorder="1" applyAlignment="1">
      <alignment horizontal="left" vertical="center"/>
    </xf>
    <xf numFmtId="0" fontId="10" fillId="0" borderId="23" xfId="0" applyFont="1" applyBorder="1" applyAlignment="1">
      <alignment vertical="center" wrapText="1"/>
    </xf>
    <xf numFmtId="0" fontId="10" fillId="0" borderId="24" xfId="0" applyFont="1" applyBorder="1" applyAlignment="1">
      <alignment vertical="center" wrapText="1"/>
    </xf>
    <xf numFmtId="0" fontId="10" fillId="0" borderId="25" xfId="0" applyFont="1" applyBorder="1" applyAlignment="1">
      <alignment horizontal="left" vertical="center" wrapText="1"/>
    </xf>
    <xf numFmtId="0" fontId="10" fillId="0" borderId="10" xfId="0" applyFont="1" applyBorder="1" applyAlignment="1">
      <alignment horizontal="center" vertical="center" wrapText="1"/>
    </xf>
    <xf numFmtId="0" fontId="10" fillId="0" borderId="10" xfId="0" applyFont="1" applyBorder="1" applyAlignment="1">
      <alignment horizontal="left" vertical="center" wrapText="1"/>
    </xf>
    <xf numFmtId="0" fontId="10" fillId="0" borderId="25" xfId="0" applyFont="1" applyBorder="1" applyAlignment="1">
      <alignment horizontal="left" vertical="center"/>
    </xf>
    <xf numFmtId="0" fontId="5" fillId="0" borderId="10" xfId="0" applyFont="1" applyBorder="1" applyAlignment="1">
      <alignment horizontal="left" vertical="center"/>
    </xf>
    <xf numFmtId="0" fontId="5" fillId="0" borderId="10" xfId="0" applyFont="1" applyBorder="1" applyAlignment="1">
      <alignment horizontal="left" vertical="center" wrapText="1"/>
    </xf>
    <xf numFmtId="0" fontId="4" fillId="2" borderId="25" xfId="0" applyFont="1" applyFill="1" applyBorder="1" applyAlignment="1">
      <alignment vertical="center"/>
    </xf>
    <xf numFmtId="0" fontId="10" fillId="2" borderId="10" xfId="0" applyFont="1" applyFill="1" applyBorder="1" applyAlignment="1">
      <alignment vertical="center"/>
    </xf>
    <xf numFmtId="0" fontId="4" fillId="2" borderId="10" xfId="0" applyFont="1" applyFill="1" applyBorder="1" applyAlignment="1">
      <alignment vertical="center"/>
    </xf>
    <xf numFmtId="43" fontId="4" fillId="2" borderId="10" xfId="0" applyNumberFormat="1" applyFont="1" applyFill="1" applyBorder="1" applyAlignment="1">
      <alignment vertical="center"/>
    </xf>
    <xf numFmtId="0" fontId="10" fillId="0" borderId="25" xfId="0" applyFont="1" applyBorder="1" applyAlignment="1">
      <alignment vertical="center" wrapText="1"/>
    </xf>
    <xf numFmtId="0" fontId="4" fillId="0" borderId="10" xfId="0" applyFont="1" applyBorder="1" applyAlignment="1">
      <alignment horizontal="left" vertical="center"/>
    </xf>
    <xf numFmtId="0" fontId="10" fillId="0" borderId="10" xfId="0" applyFont="1" applyBorder="1" applyAlignment="1">
      <alignment vertical="center" wrapText="1"/>
    </xf>
    <xf numFmtId="43" fontId="10" fillId="0" borderId="10" xfId="0" applyNumberFormat="1" applyFont="1" applyBorder="1" applyAlignment="1">
      <alignment vertical="center" wrapText="1"/>
    </xf>
    <xf numFmtId="0" fontId="10" fillId="0" borderId="26" xfId="0" applyFont="1" applyBorder="1" applyAlignment="1">
      <alignment vertical="center" wrapText="1"/>
    </xf>
    <xf numFmtId="0" fontId="10" fillId="0" borderId="10" xfId="0" applyFont="1" applyBorder="1" applyAlignment="1">
      <alignment horizontal="left" vertical="center"/>
    </xf>
    <xf numFmtId="0" fontId="5" fillId="0" borderId="0" xfId="0" applyFont="1" applyAlignment="1">
      <alignment horizontal="left" vertical="center"/>
    </xf>
    <xf numFmtId="0" fontId="4" fillId="0" borderId="9" xfId="0" applyFont="1" applyBorder="1" applyAlignment="1">
      <alignment horizontal="left" vertical="center" wrapText="1"/>
    </xf>
    <xf numFmtId="0" fontId="4" fillId="0" borderId="10" xfId="0" applyFont="1" applyBorder="1" applyAlignment="1">
      <alignment horizontal="left" vertical="center" wrapText="1"/>
    </xf>
    <xf numFmtId="0" fontId="21" fillId="0" borderId="10" xfId="0" applyFont="1" applyBorder="1" applyAlignment="1">
      <alignment horizontal="left" vertical="center"/>
    </xf>
    <xf numFmtId="0" fontId="4" fillId="0" borderId="9" xfId="0" applyFont="1" applyBorder="1" applyAlignment="1">
      <alignment vertical="center"/>
    </xf>
    <xf numFmtId="0" fontId="4" fillId="0" borderId="10" xfId="0" applyFont="1" applyBorder="1" applyAlignment="1">
      <alignment vertical="center"/>
    </xf>
    <xf numFmtId="43" fontId="4" fillId="0" borderId="10" xfId="0" applyNumberFormat="1" applyFont="1" applyBorder="1" applyAlignment="1">
      <alignment vertical="center"/>
    </xf>
    <xf numFmtId="0" fontId="4" fillId="0" borderId="11" xfId="0" applyFont="1" applyBorder="1" applyAlignment="1">
      <alignment vertical="center"/>
    </xf>
    <xf numFmtId="0" fontId="11" fillId="0" borderId="10" xfId="0" applyFont="1" applyBorder="1" applyAlignment="1">
      <alignment horizontal="left" vertical="center" wrapText="1"/>
    </xf>
    <xf numFmtId="0" fontId="6" fillId="0" borderId="9" xfId="0" applyFont="1" applyBorder="1" applyAlignment="1">
      <alignment horizontal="left" vertical="center"/>
    </xf>
    <xf numFmtId="0" fontId="6" fillId="0" borderId="10" xfId="0" applyFont="1" applyBorder="1" applyAlignment="1">
      <alignment horizontal="left" vertical="center" wrapText="1"/>
    </xf>
    <xf numFmtId="0" fontId="6" fillId="0" borderId="10" xfId="0" applyFont="1" applyBorder="1" applyAlignment="1">
      <alignment horizontal="left" vertical="center"/>
    </xf>
    <xf numFmtId="0" fontId="4" fillId="2" borderId="9" xfId="0" applyFont="1" applyFill="1" applyBorder="1" applyAlignment="1">
      <alignment vertical="center"/>
    </xf>
    <xf numFmtId="0" fontId="5" fillId="0" borderId="9" xfId="0" applyFont="1" applyBorder="1" applyAlignment="1">
      <alignment horizontal="left" vertical="center"/>
    </xf>
    <xf numFmtId="0" fontId="27" fillId="0" borderId="25" xfId="0" applyFont="1" applyBorder="1" applyAlignment="1">
      <alignment horizontal="right" vertical="center"/>
    </xf>
    <xf numFmtId="0" fontId="28" fillId="0" borderId="25" xfId="0" applyFont="1" applyBorder="1" applyAlignment="1">
      <alignment horizontal="right" vertical="center"/>
    </xf>
    <xf numFmtId="0" fontId="29" fillId="5" borderId="25" xfId="0" applyFont="1" applyFill="1" applyBorder="1" applyAlignment="1">
      <alignment horizontal="right" vertical="center"/>
    </xf>
    <xf numFmtId="0" fontId="10" fillId="4" borderId="10" xfId="0" applyFont="1" applyFill="1" applyBorder="1" applyAlignment="1">
      <alignment vertical="center"/>
    </xf>
    <xf numFmtId="0" fontId="4" fillId="4" borderId="10" xfId="0" applyFont="1" applyFill="1" applyBorder="1" applyAlignment="1">
      <alignment vertical="center"/>
    </xf>
    <xf numFmtId="43" fontId="4" fillId="4" borderId="10" xfId="0" applyNumberFormat="1" applyFont="1" applyFill="1" applyBorder="1" applyAlignment="1">
      <alignment horizontal="center" vertical="center"/>
    </xf>
    <xf numFmtId="0" fontId="29" fillId="0" borderId="25" xfId="0" applyFont="1" applyBorder="1" applyAlignment="1">
      <alignment horizontal="right" vertical="center"/>
    </xf>
    <xf numFmtId="43" fontId="4" fillId="0" borderId="10" xfId="0" applyNumberFormat="1" applyFont="1" applyBorder="1" applyAlignment="1">
      <alignment horizontal="center" vertical="center"/>
    </xf>
    <xf numFmtId="0" fontId="4" fillId="0" borderId="26" xfId="0" applyFont="1" applyBorder="1" applyAlignment="1">
      <alignment horizontal="center" vertical="center"/>
    </xf>
    <xf numFmtId="0" fontId="29" fillId="0" borderId="25" xfId="0" applyFont="1" applyBorder="1" applyAlignment="1">
      <alignment horizontal="right" vertical="center" wrapText="1"/>
    </xf>
    <xf numFmtId="0" fontId="28" fillId="4" borderId="25" xfId="0" applyFont="1" applyFill="1" applyBorder="1" applyAlignment="1">
      <alignment horizontal="right" vertical="center"/>
    </xf>
    <xf numFmtId="0" fontId="10" fillId="0" borderId="27" xfId="0" applyFont="1" applyBorder="1" applyAlignment="1">
      <alignment vertical="center" wrapText="1"/>
    </xf>
    <xf numFmtId="43" fontId="10" fillId="0" borderId="27" xfId="0" applyNumberFormat="1" applyFont="1" applyBorder="1" applyAlignment="1">
      <alignment horizontal="center" vertical="center" wrapText="1"/>
    </xf>
    <xf numFmtId="0" fontId="10" fillId="0" borderId="32" xfId="0" applyFont="1" applyBorder="1" applyAlignment="1">
      <alignment horizontal="center" vertical="center" wrapText="1"/>
    </xf>
    <xf numFmtId="0" fontId="26" fillId="0" borderId="33" xfId="0" applyFont="1" applyBorder="1" applyAlignment="1">
      <alignment horizontal="right" vertical="center" wrapText="1"/>
    </xf>
    <xf numFmtId="167" fontId="30" fillId="0" borderId="25" xfId="0" applyNumberFormat="1" applyFont="1" applyBorder="1" applyAlignment="1">
      <alignment horizontal="right" vertical="center" wrapText="1"/>
    </xf>
    <xf numFmtId="0" fontId="4" fillId="2" borderId="10" xfId="0" applyFont="1" applyFill="1" applyBorder="1" applyAlignment="1">
      <alignment horizontal="center" vertical="center"/>
    </xf>
    <xf numFmtId="2" fontId="4" fillId="0" borderId="5" xfId="0" applyNumberFormat="1" applyFont="1" applyBorder="1" applyAlignment="1">
      <alignment horizontal="center" vertical="center" wrapText="1"/>
    </xf>
    <xf numFmtId="43" fontId="0" fillId="0" borderId="0" xfId="2" applyFont="1" applyAlignment="1">
      <alignment horizontal="right"/>
    </xf>
    <xf numFmtId="0" fontId="0" fillId="0" borderId="0" xfId="0" applyAlignment="1">
      <alignment horizontal="center"/>
    </xf>
    <xf numFmtId="0" fontId="4" fillId="0" borderId="9" xfId="0" applyFont="1" applyBorder="1" applyAlignment="1">
      <alignment horizontal="left" vertical="center"/>
    </xf>
    <xf numFmtId="164" fontId="5" fillId="0" borderId="10" xfId="0" applyNumberFormat="1" applyFont="1" applyBorder="1" applyAlignment="1">
      <alignment horizontal="left" vertical="center"/>
    </xf>
    <xf numFmtId="2" fontId="6" fillId="0" borderId="9" xfId="0" applyNumberFormat="1" applyFont="1" applyBorder="1" applyAlignment="1">
      <alignment horizontal="left" vertical="center"/>
    </xf>
    <xf numFmtId="4" fontId="5" fillId="0" borderId="10" xfId="0" applyNumberFormat="1" applyFont="1" applyBorder="1" applyAlignment="1">
      <alignment horizontal="left" vertical="center"/>
    </xf>
    <xf numFmtId="9" fontId="0" fillId="0" borderId="0" xfId="6" applyFont="1"/>
    <xf numFmtId="164" fontId="0" fillId="0" borderId="0" xfId="5" applyFont="1"/>
    <xf numFmtId="164" fontId="0" fillId="0" borderId="0" xfId="5" applyFont="1" applyAlignment="1">
      <alignment wrapText="1"/>
    </xf>
    <xf numFmtId="164" fontId="0" fillId="0" borderId="0" xfId="5" applyFont="1" applyFill="1" applyAlignment="1">
      <alignment wrapText="1"/>
    </xf>
    <xf numFmtId="43" fontId="1" fillId="0" borderId="0" xfId="2" applyFont="1"/>
    <xf numFmtId="43" fontId="50" fillId="0" borderId="2" xfId="4" applyNumberFormat="1" applyFont="1" applyBorder="1" applyAlignment="1">
      <alignment vertical="center" wrapText="1"/>
    </xf>
    <xf numFmtId="43" fontId="50" fillId="0" borderId="3" xfId="4" applyNumberFormat="1" applyFont="1" applyBorder="1" applyAlignment="1">
      <alignment vertical="center" wrapText="1"/>
    </xf>
    <xf numFmtId="43" fontId="50" fillId="0" borderId="5" xfId="4" applyNumberFormat="1" applyFont="1" applyBorder="1" applyAlignment="1">
      <alignment vertical="center" wrapText="1"/>
    </xf>
    <xf numFmtId="43" fontId="50" fillId="0" borderId="1" xfId="4" applyNumberFormat="1" applyFont="1" applyBorder="1" applyAlignment="1">
      <alignment vertical="center" wrapText="1"/>
    </xf>
    <xf numFmtId="43" fontId="50" fillId="0" borderId="7" xfId="4" applyNumberFormat="1" applyFont="1" applyBorder="1" applyAlignment="1">
      <alignment vertical="center" wrapText="1"/>
    </xf>
    <xf numFmtId="43" fontId="50" fillId="0" borderId="8" xfId="4" applyNumberFormat="1" applyFont="1" applyBorder="1" applyAlignment="1">
      <alignment vertical="center" wrapText="1"/>
    </xf>
    <xf numFmtId="43" fontId="53" fillId="0" borderId="3" xfId="4" applyNumberFormat="1" applyFont="1" applyBorder="1" applyAlignment="1">
      <alignment vertical="center"/>
    </xf>
    <xf numFmtId="43" fontId="4" fillId="4" borderId="10" xfId="0" applyNumberFormat="1" applyFont="1" applyFill="1" applyBorder="1" applyAlignment="1">
      <alignment vertical="center"/>
    </xf>
    <xf numFmtId="0" fontId="5" fillId="4" borderId="15" xfId="0" applyFont="1" applyFill="1" applyBorder="1" applyAlignment="1">
      <alignment horizontal="left" vertical="center"/>
    </xf>
    <xf numFmtId="0" fontId="10" fillId="4" borderId="34" xfId="0" applyFont="1" applyFill="1" applyBorder="1" applyAlignment="1">
      <alignment horizontal="left" vertical="center"/>
    </xf>
    <xf numFmtId="43" fontId="10" fillId="4" borderId="34" xfId="2" applyFont="1" applyFill="1" applyBorder="1" applyAlignment="1">
      <alignment horizontal="left" vertical="center"/>
    </xf>
    <xf numFmtId="43" fontId="10" fillId="4" borderId="35" xfId="2" applyFont="1" applyFill="1" applyBorder="1" applyAlignment="1">
      <alignment horizontal="left" vertical="center"/>
    </xf>
    <xf numFmtId="0" fontId="4" fillId="0" borderId="25" xfId="0" applyFont="1" applyBorder="1" applyAlignment="1">
      <alignment horizontal="left" vertical="center" wrapText="1"/>
    </xf>
    <xf numFmtId="43" fontId="4" fillId="0" borderId="26" xfId="2" applyFont="1" applyFill="1" applyBorder="1" applyAlignment="1">
      <alignment horizontal="left" vertical="center" wrapText="1"/>
    </xf>
    <xf numFmtId="0" fontId="21" fillId="0" borderId="25" xfId="0" applyFont="1" applyBorder="1" applyAlignment="1">
      <alignment horizontal="left" vertical="center"/>
    </xf>
    <xf numFmtId="43" fontId="21" fillId="0" borderId="26" xfId="2" applyFont="1" applyFill="1" applyBorder="1" applyAlignment="1">
      <alignment horizontal="left" vertical="center"/>
    </xf>
    <xf numFmtId="0" fontId="4" fillId="0" borderId="25" xfId="0" applyFont="1" applyBorder="1" applyAlignment="1">
      <alignment vertical="center"/>
    </xf>
    <xf numFmtId="0" fontId="4" fillId="0" borderId="26" xfId="0" applyFont="1" applyBorder="1" applyAlignment="1">
      <alignment vertical="center"/>
    </xf>
    <xf numFmtId="43" fontId="6" fillId="0" borderId="26" xfId="2" applyFont="1" applyFill="1" applyBorder="1" applyAlignment="1">
      <alignment horizontal="left" vertical="center"/>
    </xf>
    <xf numFmtId="0" fontId="6" fillId="0" borderId="25" xfId="0" applyFont="1" applyBorder="1" applyAlignment="1">
      <alignment horizontal="left" vertical="center"/>
    </xf>
    <xf numFmtId="0" fontId="5" fillId="0" borderId="63" xfId="0" applyFont="1" applyBorder="1" applyAlignment="1">
      <alignment horizontal="left" vertical="center"/>
    </xf>
    <xf numFmtId="43" fontId="5" fillId="0" borderId="0" xfId="2" applyFont="1" applyBorder="1" applyAlignment="1">
      <alignment horizontal="left" vertical="center"/>
    </xf>
    <xf numFmtId="43" fontId="5" fillId="0" borderId="64" xfId="2" applyFont="1" applyFill="1" applyBorder="1" applyAlignment="1">
      <alignment horizontal="left" vertical="center"/>
    </xf>
    <xf numFmtId="0" fontId="5" fillId="0" borderId="25" xfId="0" applyFont="1" applyBorder="1" applyAlignment="1">
      <alignment horizontal="left" vertical="center"/>
    </xf>
    <xf numFmtId="0" fontId="11" fillId="0" borderId="25" xfId="0" applyFont="1" applyBorder="1" applyAlignment="1">
      <alignment horizontal="left" vertical="center"/>
    </xf>
    <xf numFmtId="0" fontId="5" fillId="0" borderId="25" xfId="0" applyFont="1" applyBorder="1" applyAlignment="1">
      <alignment horizontal="left" vertical="center" wrapText="1"/>
    </xf>
    <xf numFmtId="43" fontId="4" fillId="4" borderId="26" xfId="2" applyFont="1" applyFill="1" applyBorder="1" applyAlignment="1">
      <alignment horizontal="left" vertical="center"/>
    </xf>
    <xf numFmtId="0" fontId="5" fillId="4" borderId="69" xfId="0" applyFont="1" applyFill="1" applyBorder="1" applyAlignment="1">
      <alignment horizontal="left" vertical="center"/>
    </xf>
    <xf numFmtId="0" fontId="10" fillId="4" borderId="30" xfId="0" applyFont="1" applyFill="1" applyBorder="1" applyAlignment="1">
      <alignment horizontal="left" vertical="center"/>
    </xf>
    <xf numFmtId="43" fontId="10" fillId="4" borderId="30" xfId="2" applyFont="1" applyFill="1" applyBorder="1" applyAlignment="1">
      <alignment horizontal="left" vertical="center"/>
    </xf>
    <xf numFmtId="43" fontId="10" fillId="4" borderId="31" xfId="2" applyFont="1" applyFill="1" applyBorder="1" applyAlignment="1">
      <alignment horizontal="left" vertical="center"/>
    </xf>
    <xf numFmtId="0" fontId="4" fillId="2" borderId="106" xfId="0" applyFont="1" applyFill="1" applyBorder="1" applyAlignment="1">
      <alignment vertical="center"/>
    </xf>
    <xf numFmtId="0" fontId="10" fillId="2" borderId="13" xfId="0" applyFont="1" applyFill="1" applyBorder="1" applyAlignment="1">
      <alignment vertical="center"/>
    </xf>
    <xf numFmtId="0" fontId="4" fillId="2" borderId="13" xfId="0" applyFont="1" applyFill="1" applyBorder="1" applyAlignment="1">
      <alignment vertical="center"/>
    </xf>
    <xf numFmtId="43" fontId="4" fillId="2" borderId="13" xfId="0" applyNumberFormat="1" applyFont="1" applyFill="1" applyBorder="1" applyAlignment="1">
      <alignment vertical="center"/>
    </xf>
    <xf numFmtId="43" fontId="10" fillId="4" borderId="125" xfId="2" applyFont="1" applyFill="1" applyBorder="1" applyAlignment="1">
      <alignment horizontal="left" vertical="center" wrapText="1"/>
    </xf>
    <xf numFmtId="0" fontId="11" fillId="0" borderId="126" xfId="0" applyFont="1" applyBorder="1" applyAlignment="1">
      <alignment horizontal="center" vertical="center"/>
    </xf>
    <xf numFmtId="0" fontId="10" fillId="0" borderId="127" xfId="0" applyFont="1" applyBorder="1" applyAlignment="1">
      <alignment horizontal="left" vertical="center"/>
    </xf>
    <xf numFmtId="166" fontId="10" fillId="0" borderId="127" xfId="2" applyNumberFormat="1" applyFont="1" applyBorder="1" applyAlignment="1">
      <alignment horizontal="left" vertical="top"/>
    </xf>
    <xf numFmtId="43" fontId="10" fillId="0" borderId="127" xfId="2" applyFont="1" applyBorder="1" applyAlignment="1">
      <alignment horizontal="left" vertical="center"/>
    </xf>
    <xf numFmtId="43" fontId="10" fillId="0" borderId="128" xfId="2" applyFont="1" applyFill="1" applyBorder="1" applyAlignment="1">
      <alignment horizontal="left" vertical="center"/>
    </xf>
    <xf numFmtId="0" fontId="11" fillId="0" borderId="127" xfId="0" applyFont="1" applyBorder="1" applyAlignment="1">
      <alignment horizontal="left" vertical="center"/>
    </xf>
    <xf numFmtId="43" fontId="10" fillId="4" borderId="11" xfId="2" applyFont="1" applyFill="1" applyBorder="1" applyAlignment="1">
      <alignment horizontal="left" vertical="center"/>
    </xf>
    <xf numFmtId="0" fontId="4" fillId="2" borderId="12" xfId="0" applyFont="1" applyFill="1" applyBorder="1" applyAlignment="1">
      <alignment vertical="center"/>
    </xf>
    <xf numFmtId="43" fontId="10" fillId="4" borderId="14" xfId="2" applyFont="1" applyFill="1" applyBorder="1" applyAlignment="1">
      <alignment horizontal="left" vertical="center"/>
    </xf>
    <xf numFmtId="0" fontId="0" fillId="4" borderId="15" xfId="0" applyFill="1" applyBorder="1"/>
    <xf numFmtId="0" fontId="11" fillId="4" borderId="17" xfId="0" applyFont="1" applyFill="1" applyBorder="1" applyAlignment="1">
      <alignment horizontal="left" vertical="center" wrapText="1"/>
    </xf>
    <xf numFmtId="0" fontId="31" fillId="4" borderId="34" xfId="0" applyFont="1" applyFill="1" applyBorder="1"/>
    <xf numFmtId="43" fontId="10" fillId="4" borderId="18" xfId="2" applyFont="1" applyFill="1" applyBorder="1" applyAlignment="1">
      <alignment horizontal="left" vertical="center"/>
    </xf>
    <xf numFmtId="0" fontId="26" fillId="4" borderId="22" xfId="0" applyFont="1" applyFill="1" applyBorder="1" applyAlignment="1">
      <alignment horizontal="right" vertical="center" wrapText="1"/>
    </xf>
    <xf numFmtId="0" fontId="10" fillId="4" borderId="23" xfId="0" applyFont="1" applyFill="1" applyBorder="1" applyAlignment="1">
      <alignment horizontal="center" vertical="center" wrapText="1"/>
    </xf>
    <xf numFmtId="43" fontId="10" fillId="4" borderId="23" xfId="2" applyFont="1" applyFill="1" applyBorder="1" applyAlignment="1">
      <alignment horizontal="right" vertical="top" wrapText="1"/>
    </xf>
    <xf numFmtId="43" fontId="10" fillId="4" borderId="23" xfId="2" applyFont="1" applyFill="1" applyBorder="1" applyAlignment="1">
      <alignment horizontal="center" vertical="center" wrapText="1"/>
    </xf>
    <xf numFmtId="43" fontId="10" fillId="4" borderId="24" xfId="2" applyFont="1" applyFill="1" applyBorder="1" applyAlignment="1">
      <alignment horizontal="center" vertical="center" wrapText="1"/>
    </xf>
    <xf numFmtId="0" fontId="19" fillId="4" borderId="2" xfId="1" applyFont="1" applyFill="1" applyBorder="1" applyAlignment="1">
      <alignment vertical="center" wrapText="1"/>
    </xf>
    <xf numFmtId="0" fontId="19" fillId="4" borderId="3" xfId="1" applyFont="1" applyFill="1" applyBorder="1" applyAlignment="1">
      <alignment horizontal="center" vertical="center" wrapText="1"/>
    </xf>
    <xf numFmtId="43" fontId="19" fillId="4" borderId="3" xfId="2" applyFont="1" applyFill="1" applyBorder="1" applyAlignment="1">
      <alignment horizontal="center" vertical="center" wrapText="1"/>
    </xf>
    <xf numFmtId="43" fontId="19" fillId="4" borderId="4" xfId="2" applyFont="1" applyFill="1" applyBorder="1" applyAlignment="1">
      <alignment horizontal="center" vertical="center" wrapText="1"/>
    </xf>
    <xf numFmtId="0" fontId="19" fillId="4" borderId="5" xfId="1" applyFont="1" applyFill="1" applyBorder="1" applyAlignment="1">
      <alignment horizontal="left" vertical="center" wrapText="1"/>
    </xf>
    <xf numFmtId="0" fontId="19" fillId="4" borderId="1" xfId="1" applyFont="1" applyFill="1" applyBorder="1" applyAlignment="1">
      <alignment horizontal="center" vertical="center" wrapText="1"/>
    </xf>
    <xf numFmtId="43" fontId="19" fillId="4" borderId="1" xfId="2" applyFont="1" applyFill="1" applyBorder="1" applyAlignment="1">
      <alignment horizontal="center" vertical="center" wrapText="1"/>
    </xf>
    <xf numFmtId="43" fontId="19" fillId="4" borderId="6" xfId="2" applyFont="1" applyFill="1" applyBorder="1" applyAlignment="1">
      <alignment horizontal="center" vertical="center" wrapText="1"/>
    </xf>
    <xf numFmtId="0" fontId="4" fillId="0" borderId="5" xfId="1" applyFont="1" applyBorder="1" applyAlignment="1">
      <alignment vertical="center" wrapText="1"/>
    </xf>
    <xf numFmtId="43" fontId="6" fillId="0" borderId="1" xfId="2" applyFont="1" applyBorder="1" applyAlignment="1">
      <alignment vertical="center" wrapText="1"/>
    </xf>
    <xf numFmtId="0" fontId="6" fillId="0" borderId="5" xfId="1" applyFont="1" applyBorder="1" applyAlignment="1">
      <alignment vertical="center" wrapText="1"/>
    </xf>
    <xf numFmtId="0" fontId="0" fillId="0" borderId="5" xfId="0" applyBorder="1"/>
    <xf numFmtId="0" fontId="0" fillId="0" borderId="1" xfId="0" applyBorder="1"/>
    <xf numFmtId="0" fontId="0" fillId="0" borderId="6" xfId="0" applyBorder="1"/>
    <xf numFmtId="2" fontId="19" fillId="4" borderId="1" xfId="1" applyNumberFormat="1" applyFont="1" applyFill="1" applyBorder="1" applyAlignment="1">
      <alignment horizontal="center" vertical="center" wrapText="1"/>
    </xf>
    <xf numFmtId="0" fontId="19" fillId="4" borderId="8" xfId="1" applyFont="1" applyFill="1" applyBorder="1" applyAlignment="1">
      <alignment horizontal="center" vertical="center" wrapText="1"/>
    </xf>
    <xf numFmtId="43" fontId="19" fillId="4" borderId="8" xfId="2" applyFont="1" applyFill="1" applyBorder="1" applyAlignment="1">
      <alignment horizontal="center" vertical="center" wrapText="1"/>
    </xf>
    <xf numFmtId="43" fontId="19" fillId="4" borderId="29" xfId="2" applyFont="1" applyFill="1" applyBorder="1" applyAlignment="1">
      <alignment horizontal="center" vertical="center" wrapText="1"/>
    </xf>
    <xf numFmtId="0" fontId="19" fillId="4" borderId="7" xfId="1" applyFont="1" applyFill="1" applyBorder="1" applyAlignment="1">
      <alignment horizontal="left" vertical="center" wrapText="1"/>
    </xf>
    <xf numFmtId="0" fontId="19" fillId="4" borderId="129" xfId="1" applyFont="1" applyFill="1" applyBorder="1" applyAlignment="1">
      <alignment vertical="center" wrapText="1"/>
    </xf>
    <xf numFmtId="2" fontId="19" fillId="4" borderId="130" xfId="1" applyNumberFormat="1" applyFont="1" applyFill="1" applyBorder="1" applyAlignment="1">
      <alignment horizontal="center" vertical="center" wrapText="1"/>
    </xf>
    <xf numFmtId="0" fontId="19" fillId="4" borderId="130" xfId="1" applyFont="1" applyFill="1" applyBorder="1" applyAlignment="1">
      <alignment horizontal="center" vertical="center" wrapText="1"/>
    </xf>
    <xf numFmtId="43" fontId="19" fillId="4" borderId="130" xfId="2" applyFont="1" applyFill="1" applyBorder="1" applyAlignment="1">
      <alignment horizontal="center" vertical="center" wrapText="1"/>
    </xf>
    <xf numFmtId="43" fontId="19" fillId="4" borderId="131" xfId="2" applyFont="1" applyFill="1" applyBorder="1" applyAlignment="1">
      <alignment horizontal="center" vertical="center" wrapText="1"/>
    </xf>
    <xf numFmtId="0" fontId="19" fillId="4" borderId="132" xfId="1" applyFont="1" applyFill="1" applyBorder="1" applyAlignment="1">
      <alignment horizontal="left" vertical="center" wrapText="1"/>
    </xf>
    <xf numFmtId="2" fontId="19" fillId="4" borderId="133" xfId="1" applyNumberFormat="1" applyFont="1" applyFill="1" applyBorder="1" applyAlignment="1">
      <alignment horizontal="center" vertical="center" wrapText="1"/>
    </xf>
    <xf numFmtId="0" fontId="19" fillId="4" borderId="133" xfId="1" applyFont="1" applyFill="1" applyBorder="1" applyAlignment="1">
      <alignment horizontal="center" vertical="center" wrapText="1"/>
    </xf>
    <xf numFmtId="43" fontId="19" fillId="4" borderId="133" xfId="2" applyFont="1" applyFill="1" applyBorder="1" applyAlignment="1">
      <alignment horizontal="center" vertical="center" wrapText="1"/>
    </xf>
    <xf numFmtId="43" fontId="19" fillId="4" borderId="134" xfId="2" applyFont="1" applyFill="1" applyBorder="1" applyAlignment="1">
      <alignment horizontal="center" vertical="center" wrapText="1"/>
    </xf>
    <xf numFmtId="0" fontId="4" fillId="0" borderId="132" xfId="1" applyFont="1" applyBorder="1" applyAlignment="1">
      <alignment vertical="center" wrapText="1"/>
    </xf>
    <xf numFmtId="43" fontId="6" fillId="0" borderId="133" xfId="2" applyFont="1" applyBorder="1" applyAlignment="1">
      <alignment vertical="center" wrapText="1"/>
    </xf>
    <xf numFmtId="0" fontId="6" fillId="0" borderId="132" xfId="1" applyFont="1" applyBorder="1" applyAlignment="1">
      <alignment vertical="center" wrapText="1"/>
    </xf>
    <xf numFmtId="0" fontId="4" fillId="0" borderId="132" xfId="1" applyFont="1" applyBorder="1" applyAlignment="1">
      <alignment vertical="center"/>
    </xf>
    <xf numFmtId="0" fontId="5" fillId="0" borderId="132" xfId="1" applyFont="1" applyBorder="1"/>
    <xf numFmtId="0" fontId="6" fillId="0" borderId="132" xfId="1" applyFont="1" applyBorder="1" applyAlignment="1">
      <alignment vertical="center"/>
    </xf>
    <xf numFmtId="0" fontId="16" fillId="0" borderId="132" xfId="1" applyFont="1" applyBorder="1" applyAlignment="1">
      <alignment vertical="center" wrapText="1"/>
    </xf>
    <xf numFmtId="43" fontId="22" fillId="0" borderId="133" xfId="2" applyFont="1" applyBorder="1" applyAlignment="1">
      <alignment vertical="center" wrapText="1"/>
    </xf>
    <xf numFmtId="0" fontId="22" fillId="0" borderId="132" xfId="1" applyFont="1" applyBorder="1" applyAlignment="1">
      <alignment vertical="center" wrapText="1"/>
    </xf>
    <xf numFmtId="0" fontId="6" fillId="0" borderId="135" xfId="1" applyFont="1" applyBorder="1" applyAlignment="1">
      <alignment vertical="center" wrapText="1"/>
    </xf>
    <xf numFmtId="43" fontId="6" fillId="0" borderId="136" xfId="2" applyFont="1" applyBorder="1" applyAlignment="1">
      <alignment vertical="center" wrapText="1"/>
    </xf>
    <xf numFmtId="2" fontId="54" fillId="4" borderId="2" xfId="0" applyNumberFormat="1" applyFont="1" applyFill="1" applyBorder="1" applyAlignment="1">
      <alignment horizontal="center" vertical="center"/>
    </xf>
    <xf numFmtId="0" fontId="54" fillId="4" borderId="3" xfId="0" applyFont="1" applyFill="1" applyBorder="1" applyAlignment="1">
      <alignment vertical="center" wrapText="1"/>
    </xf>
    <xf numFmtId="0" fontId="54" fillId="4" borderId="3" xfId="0" applyFont="1" applyFill="1" applyBorder="1" applyAlignment="1">
      <alignment horizontal="center" vertical="center" wrapText="1"/>
    </xf>
    <xf numFmtId="43" fontId="54" fillId="4" borderId="3" xfId="2" applyFont="1" applyFill="1" applyBorder="1" applyAlignment="1">
      <alignment horizontal="left" vertical="center"/>
    </xf>
    <xf numFmtId="43" fontId="54" fillId="4" borderId="4" xfId="2" applyFont="1" applyFill="1" applyBorder="1" applyAlignment="1">
      <alignment horizontal="left" vertical="center"/>
    </xf>
    <xf numFmtId="2" fontId="5" fillId="4" borderId="15" xfId="0" applyNumberFormat="1" applyFont="1" applyFill="1" applyBorder="1" applyAlignment="1">
      <alignment horizontal="center"/>
    </xf>
    <xf numFmtId="0" fontId="5" fillId="4" borderId="34" xfId="0" applyFont="1" applyFill="1" applyBorder="1" applyAlignment="1">
      <alignment horizontal="center"/>
    </xf>
    <xf numFmtId="43" fontId="5" fillId="4" borderId="34" xfId="2" applyFont="1" applyFill="1" applyBorder="1" applyAlignment="1">
      <alignment horizontal="left" vertical="center"/>
    </xf>
    <xf numFmtId="43" fontId="10" fillId="4" borderId="128" xfId="2" applyFont="1" applyFill="1" applyBorder="1" applyAlignment="1">
      <alignment horizontal="left" vertical="center"/>
    </xf>
    <xf numFmtId="0" fontId="5" fillId="4" borderId="9" xfId="1" applyFont="1" applyFill="1" applyBorder="1" applyAlignment="1">
      <alignment horizontal="left" vertical="center" wrapText="1"/>
    </xf>
    <xf numFmtId="0" fontId="11" fillId="4" borderId="10" xfId="1" applyFont="1" applyFill="1" applyBorder="1" applyAlignment="1">
      <alignment horizontal="left" vertical="center" wrapText="1"/>
    </xf>
    <xf numFmtId="0" fontId="7" fillId="4" borderId="10" xfId="1" applyFont="1" applyFill="1" applyBorder="1" applyAlignment="1">
      <alignment horizontal="left" vertical="center" wrapText="1"/>
    </xf>
    <xf numFmtId="43" fontId="7" fillId="4" borderId="10" xfId="2" applyFont="1" applyFill="1" applyBorder="1" applyAlignment="1">
      <alignment horizontal="left" vertical="center" wrapText="1"/>
    </xf>
    <xf numFmtId="43" fontId="10" fillId="4" borderId="11" xfId="2" applyFont="1" applyFill="1" applyBorder="1" applyAlignment="1">
      <alignment vertical="center"/>
    </xf>
    <xf numFmtId="0" fontId="8" fillId="4" borderId="10" xfId="1" applyFont="1" applyFill="1" applyBorder="1" applyAlignment="1">
      <alignment horizontal="left" vertical="center" wrapText="1"/>
    </xf>
    <xf numFmtId="43" fontId="8" fillId="4" borderId="10" xfId="2" applyFont="1" applyFill="1" applyBorder="1" applyAlignment="1">
      <alignment horizontal="left" vertical="center" wrapText="1"/>
    </xf>
    <xf numFmtId="0" fontId="13" fillId="4" borderId="10" xfId="1" applyFont="1" applyFill="1" applyBorder="1" applyAlignment="1">
      <alignment horizontal="left" vertical="center" wrapText="1"/>
    </xf>
    <xf numFmtId="0" fontId="5" fillId="4" borderId="12" xfId="1" applyFont="1" applyFill="1" applyBorder="1" applyAlignment="1">
      <alignment horizontal="left" vertical="center" wrapText="1"/>
    </xf>
    <xf numFmtId="0" fontId="8" fillId="4" borderId="13" xfId="1" applyFont="1" applyFill="1" applyBorder="1" applyAlignment="1">
      <alignment horizontal="left" vertical="center" wrapText="1"/>
    </xf>
    <xf numFmtId="43" fontId="8" fillId="4" borderId="13" xfId="2" applyFont="1" applyFill="1" applyBorder="1" applyAlignment="1">
      <alignment horizontal="left" vertical="center" wrapText="1"/>
    </xf>
    <xf numFmtId="43" fontId="10" fillId="4" borderId="14" xfId="2" applyFont="1" applyFill="1" applyBorder="1" applyAlignment="1">
      <alignment vertical="center"/>
    </xf>
    <xf numFmtId="0" fontId="3" fillId="4" borderId="15" xfId="1" applyFill="1" applyBorder="1"/>
    <xf numFmtId="0" fontId="3" fillId="4" borderId="34" xfId="1" applyFill="1" applyBorder="1"/>
    <xf numFmtId="43" fontId="10" fillId="4" borderId="18" xfId="2" applyFont="1" applyFill="1" applyBorder="1" applyAlignment="1">
      <alignment vertical="center"/>
    </xf>
    <xf numFmtId="0" fontId="10" fillId="0" borderId="89" xfId="1" applyFont="1" applyBorder="1" applyAlignment="1">
      <alignment horizontal="left" vertical="center" wrapText="1"/>
    </xf>
    <xf numFmtId="0" fontId="10" fillId="0" borderId="78" xfId="1" applyFont="1" applyBorder="1" applyAlignment="1">
      <alignment horizontal="left" vertical="center" wrapText="1"/>
    </xf>
    <xf numFmtId="43" fontId="10" fillId="0" borderId="78" xfId="2" applyFont="1" applyBorder="1" applyAlignment="1">
      <alignment horizontal="left" vertical="center" wrapText="1"/>
    </xf>
    <xf numFmtId="43" fontId="10" fillId="0" borderId="120" xfId="2" applyFont="1" applyBorder="1" applyAlignment="1">
      <alignment vertical="center" wrapText="1"/>
    </xf>
    <xf numFmtId="0" fontId="9" fillId="4" borderId="138" xfId="1" applyFont="1" applyFill="1" applyBorder="1" applyAlignment="1">
      <alignment horizontal="left"/>
    </xf>
    <xf numFmtId="0" fontId="9" fillId="4" borderId="17" xfId="1" applyFont="1" applyFill="1" applyBorder="1" applyAlignment="1">
      <alignment horizontal="left"/>
    </xf>
    <xf numFmtId="0" fontId="5" fillId="4" borderId="17" xfId="1" applyFont="1" applyFill="1" applyBorder="1" applyAlignment="1">
      <alignment horizontal="left"/>
    </xf>
    <xf numFmtId="43" fontId="5" fillId="4" borderId="17" xfId="2" applyFont="1" applyFill="1" applyBorder="1" applyAlignment="1">
      <alignment horizontal="left"/>
    </xf>
    <xf numFmtId="43" fontId="5" fillId="4" borderId="18" xfId="2" applyFont="1" applyFill="1" applyBorder="1" applyAlignment="1">
      <alignment vertical="center"/>
    </xf>
    <xf numFmtId="0" fontId="19" fillId="4" borderId="15" xfId="1" applyFont="1" applyFill="1" applyBorder="1" applyAlignment="1">
      <alignment horizontal="right" vertical="center" wrapText="1"/>
    </xf>
    <xf numFmtId="2" fontId="19" fillId="4" borderId="34" xfId="1" applyNumberFormat="1" applyFont="1" applyFill="1" applyBorder="1" applyAlignment="1">
      <alignment horizontal="center" vertical="center" wrapText="1"/>
    </xf>
    <xf numFmtId="0" fontId="19" fillId="4" borderId="34" xfId="1" applyFont="1" applyFill="1" applyBorder="1" applyAlignment="1">
      <alignment horizontal="center" vertical="center" wrapText="1"/>
    </xf>
    <xf numFmtId="43" fontId="19" fillId="4" borderId="34" xfId="2" applyFont="1" applyFill="1" applyBorder="1" applyAlignment="1">
      <alignment horizontal="center" vertical="center" wrapText="1"/>
    </xf>
    <xf numFmtId="43" fontId="19" fillId="4" borderId="35" xfId="2" applyFont="1" applyFill="1" applyBorder="1" applyAlignment="1">
      <alignment horizontal="center" vertical="center" wrapText="1"/>
    </xf>
    <xf numFmtId="0" fontId="11" fillId="4" borderId="126" xfId="0" applyFont="1" applyFill="1" applyBorder="1" applyAlignment="1">
      <alignment horizontal="center" vertical="center"/>
    </xf>
    <xf numFmtId="0" fontId="11" fillId="4" borderId="127" xfId="0" applyFont="1" applyFill="1" applyBorder="1" applyAlignment="1">
      <alignment horizontal="center" vertical="center"/>
    </xf>
    <xf numFmtId="43" fontId="11" fillId="4" borderId="127" xfId="2" applyFont="1" applyFill="1" applyBorder="1" applyAlignment="1">
      <alignment horizontal="left" vertical="center"/>
    </xf>
    <xf numFmtId="43" fontId="5" fillId="4" borderId="127" xfId="2" applyFont="1" applyFill="1" applyBorder="1" applyAlignment="1">
      <alignment horizontal="left" vertical="center"/>
    </xf>
    <xf numFmtId="0" fontId="11" fillId="4" borderId="127" xfId="0" applyFont="1" applyFill="1" applyBorder="1" applyAlignment="1">
      <alignment horizontal="left" vertical="center"/>
    </xf>
    <xf numFmtId="0" fontId="28" fillId="3" borderId="63" xfId="0" applyFont="1" applyFill="1" applyBorder="1" applyAlignment="1">
      <alignment horizontal="right" vertical="center"/>
    </xf>
    <xf numFmtId="0" fontId="10" fillId="3" borderId="0" xfId="0" applyFont="1" applyFill="1" applyAlignment="1">
      <alignment vertical="center"/>
    </xf>
    <xf numFmtId="0" fontId="4" fillId="3" borderId="0" xfId="0" applyFont="1" applyFill="1" applyAlignment="1">
      <alignment vertical="center"/>
    </xf>
    <xf numFmtId="43" fontId="4" fillId="3" borderId="0" xfId="2" applyFont="1" applyFill="1" applyBorder="1" applyAlignment="1">
      <alignment horizontal="right" vertical="center"/>
    </xf>
    <xf numFmtId="43" fontId="4" fillId="3" borderId="0" xfId="0" applyNumberFormat="1" applyFont="1" applyFill="1" applyAlignment="1">
      <alignment horizontal="center" vertical="center"/>
    </xf>
    <xf numFmtId="43" fontId="4" fillId="3" borderId="64" xfId="2" applyFont="1" applyFill="1" applyBorder="1" applyAlignment="1">
      <alignment horizontal="center" vertical="center"/>
    </xf>
    <xf numFmtId="0" fontId="21" fillId="0" borderId="89" xfId="0" applyFont="1" applyBorder="1" applyAlignment="1">
      <alignment horizontal="left" vertical="center"/>
    </xf>
    <xf numFmtId="0" fontId="11" fillId="0" borderId="78" xfId="0" applyFont="1" applyBorder="1" applyAlignment="1">
      <alignment horizontal="left" vertical="center" wrapText="1"/>
    </xf>
    <xf numFmtId="0" fontId="5" fillId="0" borderId="78" xfId="0" applyFont="1" applyBorder="1" applyAlignment="1">
      <alignment horizontal="left" vertical="center"/>
    </xf>
    <xf numFmtId="43" fontId="5" fillId="0" borderId="78" xfId="2" applyFont="1" applyBorder="1" applyAlignment="1">
      <alignment horizontal="left" vertical="center"/>
    </xf>
    <xf numFmtId="43" fontId="5" fillId="0" borderId="120" xfId="2" applyFont="1" applyFill="1" applyBorder="1" applyAlignment="1">
      <alignment horizontal="left" vertical="center"/>
    </xf>
    <xf numFmtId="0" fontId="4" fillId="14" borderId="138" xfId="0" applyFont="1" applyFill="1" applyBorder="1" applyAlignment="1">
      <alignment horizontal="left" vertical="center" wrapText="1"/>
    </xf>
    <xf numFmtId="0" fontId="4" fillId="14" borderId="17" xfId="0" applyFont="1" applyFill="1" applyBorder="1" applyAlignment="1">
      <alignment horizontal="left" vertical="center" wrapText="1"/>
    </xf>
    <xf numFmtId="0" fontId="4" fillId="14" borderId="17" xfId="0" applyFont="1" applyFill="1" applyBorder="1" applyAlignment="1">
      <alignment horizontal="left" vertical="center"/>
    </xf>
    <xf numFmtId="43" fontId="4" fillId="14" borderId="17" xfId="2" applyFont="1" applyFill="1" applyBorder="1" applyAlignment="1">
      <alignment horizontal="left" vertical="center" wrapText="1"/>
    </xf>
    <xf numFmtId="43" fontId="4" fillId="14" borderId="18" xfId="2" applyFont="1" applyFill="1" applyBorder="1" applyAlignment="1">
      <alignment horizontal="left" vertical="center" wrapText="1"/>
    </xf>
    <xf numFmtId="2" fontId="4" fillId="0" borderId="139" xfId="0" applyNumberFormat="1" applyFont="1" applyBorder="1" applyAlignment="1">
      <alignment horizontal="center" vertical="center" wrapText="1"/>
    </xf>
    <xf numFmtId="0" fontId="8" fillId="0" borderId="140" xfId="0" applyFont="1" applyBorder="1" applyAlignment="1">
      <alignment vertical="top" wrapText="1"/>
    </xf>
    <xf numFmtId="43" fontId="7" fillId="0" borderId="140" xfId="2" applyFont="1" applyBorder="1" applyAlignment="1">
      <alignment horizontal="center" vertical="top"/>
    </xf>
    <xf numFmtId="43" fontId="6" fillId="0" borderId="140" xfId="2" applyFont="1" applyBorder="1" applyAlignment="1">
      <alignment horizontal="left" vertical="center"/>
    </xf>
    <xf numFmtId="43" fontId="5" fillId="0" borderId="141" xfId="2" applyFont="1" applyBorder="1" applyAlignment="1">
      <alignment horizontal="left" vertical="center"/>
    </xf>
    <xf numFmtId="0" fontId="28" fillId="4" borderId="138" xfId="0" applyFont="1" applyFill="1" applyBorder="1" applyAlignment="1">
      <alignment horizontal="right" vertical="center"/>
    </xf>
    <xf numFmtId="0" fontId="10" fillId="4" borderId="17" xfId="0" applyFont="1" applyFill="1" applyBorder="1" applyAlignment="1">
      <alignment vertical="center"/>
    </xf>
    <xf numFmtId="0" fontId="4" fillId="4" borderId="17" xfId="0" applyFont="1" applyFill="1" applyBorder="1" applyAlignment="1">
      <alignment vertical="center"/>
    </xf>
    <xf numFmtId="43" fontId="4" fillId="4" borderId="17" xfId="2" applyFont="1" applyFill="1" applyBorder="1" applyAlignment="1">
      <alignment horizontal="right" vertical="center"/>
    </xf>
    <xf numFmtId="43" fontId="4" fillId="4" borderId="17" xfId="0" applyNumberFormat="1" applyFont="1" applyFill="1" applyBorder="1" applyAlignment="1">
      <alignment horizontal="center" vertical="center"/>
    </xf>
    <xf numFmtId="43" fontId="4" fillId="4" borderId="18" xfId="2" applyFont="1" applyFill="1" applyBorder="1" applyAlignment="1">
      <alignment horizontal="center" vertical="center"/>
    </xf>
    <xf numFmtId="0" fontId="10" fillId="0" borderId="9" xfId="0" applyFont="1" applyBorder="1" applyAlignment="1">
      <alignment vertical="center"/>
    </xf>
    <xf numFmtId="0" fontId="10" fillId="0" borderId="10" xfId="0" applyFont="1" applyBorder="1" applyAlignment="1">
      <alignment vertical="center"/>
    </xf>
    <xf numFmtId="0" fontId="10" fillId="0" borderId="9" xfId="0" applyFont="1" applyBorder="1" applyAlignment="1">
      <alignment horizontal="left" vertical="center"/>
    </xf>
    <xf numFmtId="0" fontId="36" fillId="0" borderId="0" xfId="4" applyFont="1" applyAlignment="1">
      <alignment vertical="center" wrapText="1"/>
    </xf>
    <xf numFmtId="9" fontId="34" fillId="0" borderId="0" xfId="4" applyNumberFormat="1" applyFont="1" applyAlignment="1">
      <alignment horizontal="center" vertical="center"/>
    </xf>
    <xf numFmtId="43" fontId="0" fillId="0" borderId="0" xfId="0" applyNumberFormat="1"/>
    <xf numFmtId="43" fontId="42" fillId="0" borderId="41" xfId="4" applyNumberFormat="1" applyFont="1" applyBorder="1" applyAlignment="1">
      <alignment horizontal="left" vertical="center" wrapText="1"/>
    </xf>
    <xf numFmtId="164" fontId="34" fillId="0" borderId="31" xfId="5" applyFont="1" applyFill="1" applyBorder="1" applyAlignment="1">
      <alignment vertical="center"/>
    </xf>
    <xf numFmtId="4" fontId="34" fillId="0" borderId="31" xfId="4" applyNumberFormat="1" applyFont="1" applyBorder="1" applyAlignment="1">
      <alignment vertical="center"/>
    </xf>
    <xf numFmtId="0" fontId="34" fillId="0" borderId="31" xfId="4" applyFont="1" applyBorder="1" applyAlignment="1">
      <alignment vertical="center"/>
    </xf>
    <xf numFmtId="43" fontId="34" fillId="0" borderId="31" xfId="7" applyFont="1" applyFill="1" applyBorder="1" applyAlignment="1">
      <alignment vertical="center"/>
    </xf>
    <xf numFmtId="0" fontId="37" fillId="0" borderId="36" xfId="4" applyFont="1" applyBorder="1" applyAlignment="1">
      <alignment vertical="center"/>
    </xf>
    <xf numFmtId="164" fontId="33" fillId="0" borderId="31" xfId="5" applyFont="1" applyFill="1" applyBorder="1" applyAlignment="1">
      <alignment vertical="center"/>
    </xf>
    <xf numFmtId="0" fontId="55" fillId="0" borderId="36" xfId="4" applyFont="1" applyBorder="1" applyAlignment="1">
      <alignment vertical="center" wrapText="1"/>
    </xf>
    <xf numFmtId="0" fontId="56" fillId="16" borderId="146" xfId="0" applyFont="1" applyFill="1" applyBorder="1" applyAlignment="1">
      <alignment horizontal="center" vertical="center" wrapText="1"/>
    </xf>
    <xf numFmtId="168" fontId="56" fillId="16" borderId="147" xfId="0" applyNumberFormat="1" applyFont="1" applyFill="1" applyBorder="1" applyAlignment="1">
      <alignment horizontal="center" vertical="center" wrapText="1"/>
    </xf>
    <xf numFmtId="0" fontId="56" fillId="16" borderId="147" xfId="0" applyFont="1" applyFill="1" applyBorder="1" applyAlignment="1">
      <alignment horizontal="center" vertical="center" wrapText="1"/>
    </xf>
    <xf numFmtId="0" fontId="56" fillId="16" borderId="147" xfId="0" applyFont="1" applyFill="1" applyBorder="1" applyAlignment="1">
      <alignment horizontal="center" vertical="center"/>
    </xf>
    <xf numFmtId="0" fontId="56" fillId="16" borderId="148" xfId="0" applyFont="1" applyFill="1" applyBorder="1" applyAlignment="1">
      <alignment horizontal="center" vertical="center" wrapText="1"/>
    </xf>
    <xf numFmtId="164" fontId="0" fillId="0" borderId="0" xfId="0" applyNumberFormat="1"/>
    <xf numFmtId="0" fontId="31" fillId="0" borderId="0" xfId="0" applyFont="1" applyAlignment="1">
      <alignment horizontal="center"/>
    </xf>
    <xf numFmtId="4" fontId="0" fillId="0" borderId="0" xfId="0" applyNumberFormat="1"/>
    <xf numFmtId="0" fontId="58" fillId="0" borderId="0" xfId="0" applyFont="1"/>
    <xf numFmtId="3" fontId="58" fillId="0" borderId="0" xfId="0" applyNumberFormat="1" applyFont="1"/>
    <xf numFmtId="166" fontId="58" fillId="0" borderId="0" xfId="7" applyNumberFormat="1" applyFont="1"/>
    <xf numFmtId="164" fontId="58" fillId="0" borderId="0" xfId="0" applyNumberFormat="1" applyFont="1"/>
    <xf numFmtId="0" fontId="59" fillId="17" borderId="147" xfId="0" applyFont="1" applyFill="1" applyBorder="1" applyAlignment="1">
      <alignment horizontal="left" vertical="top" wrapText="1"/>
    </xf>
    <xf numFmtId="3" fontId="59" fillId="17" borderId="147" xfId="0" applyNumberFormat="1" applyFont="1" applyFill="1" applyBorder="1" applyAlignment="1">
      <alignment horizontal="center" vertical="top" wrapText="1"/>
    </xf>
    <xf numFmtId="0" fontId="59" fillId="16" borderId="146" xfId="0" applyFont="1" applyFill="1" applyBorder="1" applyAlignment="1">
      <alignment horizontal="center" vertical="center" wrapText="1"/>
    </xf>
    <xf numFmtId="168" fontId="59" fillId="16" borderId="147" xfId="0" applyNumberFormat="1" applyFont="1" applyFill="1" applyBorder="1" applyAlignment="1">
      <alignment horizontal="center" vertical="center" wrapText="1"/>
    </xf>
    <xf numFmtId="0" fontId="59" fillId="16" borderId="147" xfId="0" applyFont="1" applyFill="1" applyBorder="1" applyAlignment="1">
      <alignment horizontal="center" vertical="center" wrapText="1"/>
    </xf>
    <xf numFmtId="0" fontId="59" fillId="16" borderId="147" xfId="0" applyFont="1" applyFill="1" applyBorder="1" applyAlignment="1">
      <alignment horizontal="center" vertical="center"/>
    </xf>
    <xf numFmtId="0" fontId="59" fillId="16" borderId="148" xfId="0" applyFont="1" applyFill="1" applyBorder="1" applyAlignment="1">
      <alignment horizontal="center" vertical="center" wrapText="1"/>
    </xf>
    <xf numFmtId="0" fontId="59" fillId="0" borderId="0" xfId="0" applyFont="1"/>
    <xf numFmtId="0" fontId="59" fillId="0" borderId="0" xfId="0" applyFont="1" applyAlignment="1">
      <alignment horizontal="center"/>
    </xf>
    <xf numFmtId="0" fontId="58" fillId="0" borderId="0" xfId="0" applyFont="1" applyAlignment="1">
      <alignment vertical="center" wrapText="1"/>
    </xf>
    <xf numFmtId="0" fontId="59" fillId="7" borderId="0" xfId="0" applyFont="1" applyFill="1" applyAlignment="1">
      <alignment vertical="center" wrapText="1"/>
    </xf>
    <xf numFmtId="0" fontId="59" fillId="7" borderId="0" xfId="0" applyFont="1" applyFill="1"/>
    <xf numFmtId="3" fontId="59" fillId="7" borderId="0" xfId="0" applyNumberFormat="1" applyFont="1" applyFill="1"/>
    <xf numFmtId="43" fontId="44" fillId="0" borderId="113" xfId="4" applyNumberFormat="1" applyFont="1" applyBorder="1" applyAlignment="1">
      <alignment horizontal="left" vertical="center"/>
    </xf>
    <xf numFmtId="43" fontId="44" fillId="0" borderId="150" xfId="4" applyNumberFormat="1" applyFont="1" applyBorder="1" applyAlignment="1">
      <alignment horizontal="left" vertical="center"/>
    </xf>
    <xf numFmtId="43" fontId="44" fillId="0" borderId="151" xfId="4" applyNumberFormat="1" applyFont="1" applyBorder="1" applyAlignment="1">
      <alignment horizontal="left" vertical="center"/>
    </xf>
    <xf numFmtId="43" fontId="44" fillId="0" borderId="152" xfId="4" applyNumberFormat="1" applyFont="1" applyBorder="1" applyAlignment="1">
      <alignment horizontal="left" vertical="center"/>
    </xf>
    <xf numFmtId="43" fontId="44" fillId="0" borderId="153" xfId="4" applyNumberFormat="1" applyFont="1" applyBorder="1" applyAlignment="1">
      <alignment horizontal="left" vertical="center"/>
    </xf>
    <xf numFmtId="43" fontId="44" fillId="0" borderId="115" xfId="4" applyNumberFormat="1" applyFont="1" applyBorder="1" applyAlignment="1">
      <alignment horizontal="left" vertical="center"/>
    </xf>
    <xf numFmtId="43" fontId="44" fillId="0" borderId="96" xfId="4" applyNumberFormat="1" applyFont="1" applyBorder="1" applyAlignment="1">
      <alignment horizontal="left" vertical="center"/>
    </xf>
    <xf numFmtId="43" fontId="44" fillId="0" borderId="119" xfId="4" applyNumberFormat="1" applyFont="1" applyBorder="1" applyAlignment="1">
      <alignment horizontal="left" vertical="center"/>
    </xf>
    <xf numFmtId="43" fontId="44" fillId="0" borderId="27" xfId="4" applyNumberFormat="1" applyFont="1" applyBorder="1" applyAlignment="1">
      <alignment horizontal="left" vertical="center"/>
    </xf>
    <xf numFmtId="43" fontId="44" fillId="0" borderId="154" xfId="4" applyNumberFormat="1" applyFont="1" applyBorder="1" applyAlignment="1">
      <alignment horizontal="left" vertical="center"/>
    </xf>
    <xf numFmtId="43" fontId="44" fillId="0" borderId="59" xfId="4" applyNumberFormat="1" applyFont="1" applyBorder="1" applyAlignment="1">
      <alignment horizontal="left" vertical="center"/>
    </xf>
    <xf numFmtId="43" fontId="44" fillId="0" borderId="30" xfId="4" applyNumberFormat="1" applyFont="1" applyBorder="1" applyAlignment="1">
      <alignment horizontal="left" vertical="center"/>
    </xf>
    <xf numFmtId="43" fontId="42" fillId="13" borderId="154" xfId="4" applyNumberFormat="1" applyFont="1" applyFill="1" applyBorder="1" applyAlignment="1">
      <alignment horizontal="left" vertical="center"/>
    </xf>
    <xf numFmtId="43" fontId="44" fillId="0" borderId="113" xfId="4" applyNumberFormat="1" applyFont="1" applyBorder="1" applyAlignment="1">
      <alignment vertical="center"/>
    </xf>
    <xf numFmtId="43" fontId="2" fillId="0" borderId="155" xfId="4" applyNumberFormat="1" applyFont="1" applyBorder="1"/>
    <xf numFmtId="0" fontId="1" fillId="0" borderId="156" xfId="4" applyBorder="1"/>
    <xf numFmtId="43" fontId="1" fillId="0" borderId="156" xfId="4" applyNumberFormat="1" applyBorder="1"/>
    <xf numFmtId="43" fontId="62" fillId="0" borderId="156" xfId="4" applyNumberFormat="1" applyFont="1" applyBorder="1"/>
    <xf numFmtId="43" fontId="2" fillId="0" borderId="156" xfId="4" applyNumberFormat="1" applyFont="1" applyBorder="1"/>
    <xf numFmtId="0" fontId="62" fillId="0" borderId="156" xfId="4" applyFont="1" applyBorder="1"/>
    <xf numFmtId="164" fontId="23" fillId="0" borderId="156" xfId="5" applyFont="1" applyBorder="1" applyAlignment="1">
      <alignment wrapText="1"/>
    </xf>
    <xf numFmtId="43" fontId="1" fillId="0" borderId="36" xfId="4" applyNumberFormat="1" applyBorder="1"/>
    <xf numFmtId="0" fontId="0" fillId="0" borderId="0" xfId="0" applyAlignment="1">
      <alignment wrapText="1"/>
    </xf>
    <xf numFmtId="0" fontId="0" fillId="0" borderId="3" xfId="0" applyBorder="1"/>
    <xf numFmtId="0" fontId="0" fillId="0" borderId="5" xfId="0" applyBorder="1" applyAlignment="1">
      <alignment wrapText="1"/>
    </xf>
    <xf numFmtId="0" fontId="0" fillId="0" borderId="7" xfId="0" applyBorder="1" applyAlignment="1">
      <alignment wrapText="1"/>
    </xf>
    <xf numFmtId="0" fontId="0" fillId="0" borderId="8" xfId="0" applyBorder="1"/>
    <xf numFmtId="0" fontId="2" fillId="14" borderId="34" xfId="0" applyFont="1" applyFill="1" applyBorder="1"/>
    <xf numFmtId="43" fontId="19" fillId="14" borderId="15" xfId="7" applyFont="1" applyFill="1" applyBorder="1" applyAlignment="1">
      <alignment horizontal="right" vertical="center" wrapText="1"/>
    </xf>
    <xf numFmtId="43" fontId="2" fillId="14" borderId="34" xfId="7" applyFont="1" applyFill="1" applyBorder="1"/>
    <xf numFmtId="43" fontId="2" fillId="14" borderId="35" xfId="7" applyFont="1" applyFill="1" applyBorder="1"/>
    <xf numFmtId="0" fontId="38" fillId="14" borderId="149" xfId="0" applyFont="1" applyFill="1" applyBorder="1" applyAlignment="1">
      <alignment vertical="center" wrapText="1"/>
    </xf>
    <xf numFmtId="43" fontId="54" fillId="14" borderId="127" xfId="2" applyFont="1" applyFill="1" applyBorder="1" applyAlignment="1">
      <alignment horizontal="left" vertical="center"/>
    </xf>
    <xf numFmtId="43" fontId="54" fillId="14" borderId="128" xfId="2" applyFont="1" applyFill="1" applyBorder="1" applyAlignment="1">
      <alignment horizontal="left" vertical="center"/>
    </xf>
    <xf numFmtId="43" fontId="0" fillId="0" borderId="3" xfId="7" applyFont="1" applyBorder="1"/>
    <xf numFmtId="43" fontId="0" fillId="0" borderId="4" xfId="7" applyFont="1" applyBorder="1"/>
    <xf numFmtId="43" fontId="0" fillId="0" borderId="1" xfId="7" applyFont="1" applyBorder="1"/>
    <xf numFmtId="43" fontId="0" fillId="0" borderId="6" xfId="7" applyFont="1" applyBorder="1"/>
    <xf numFmtId="43" fontId="0" fillId="0" borderId="8" xfId="7" applyFont="1" applyBorder="1"/>
    <xf numFmtId="43" fontId="0" fillId="0" borderId="29" xfId="7" applyFont="1" applyBorder="1"/>
    <xf numFmtId="166" fontId="54" fillId="14" borderId="127" xfId="2" applyNumberFormat="1" applyFont="1" applyFill="1" applyBorder="1" applyAlignment="1">
      <alignment horizontal="left" vertical="center"/>
    </xf>
    <xf numFmtId="166" fontId="0" fillId="0" borderId="0" xfId="0" applyNumberFormat="1"/>
    <xf numFmtId="166" fontId="0" fillId="0" borderId="3" xfId="7" applyNumberFormat="1" applyFont="1" applyBorder="1"/>
    <xf numFmtId="166" fontId="0" fillId="0" borderId="1" xfId="7" applyNumberFormat="1" applyFont="1" applyBorder="1"/>
    <xf numFmtId="166" fontId="0" fillId="0" borderId="8" xfId="7" applyNumberFormat="1" applyFont="1" applyBorder="1"/>
    <xf numFmtId="166" fontId="2" fillId="14" borderId="34" xfId="7" applyNumberFormat="1" applyFont="1" applyFill="1" applyBorder="1"/>
    <xf numFmtId="0" fontId="62" fillId="0" borderId="2" xfId="0" applyFont="1" applyBorder="1" applyAlignment="1">
      <alignment wrapText="1"/>
    </xf>
    <xf numFmtId="0" fontId="62" fillId="0" borderId="5" xfId="0" applyFont="1" applyBorder="1" applyAlignment="1">
      <alignment wrapText="1"/>
    </xf>
    <xf numFmtId="0" fontId="62" fillId="0" borderId="126" xfId="0" applyFont="1" applyBorder="1" applyAlignment="1">
      <alignment wrapText="1"/>
    </xf>
    <xf numFmtId="0" fontId="0" fillId="0" borderId="127" xfId="0" applyBorder="1"/>
    <xf numFmtId="166" fontId="0" fillId="0" borderId="127" xfId="7" applyNumberFormat="1" applyFont="1" applyBorder="1"/>
    <xf numFmtId="43" fontId="0" fillId="0" borderId="127" xfId="7" applyFont="1" applyBorder="1"/>
    <xf numFmtId="43" fontId="0" fillId="0" borderId="128" xfId="7" applyFont="1" applyBorder="1"/>
    <xf numFmtId="0" fontId="63" fillId="0" borderId="0" xfId="0" applyFont="1"/>
    <xf numFmtId="0" fontId="61" fillId="0" borderId="0" xfId="0" applyFont="1"/>
    <xf numFmtId="166" fontId="0" fillId="0" borderId="0" xfId="7" applyNumberFormat="1" applyFont="1" applyBorder="1"/>
    <xf numFmtId="43" fontId="0" fillId="0" borderId="0" xfId="7" applyFont="1" applyBorder="1"/>
    <xf numFmtId="0" fontId="62" fillId="0" borderId="59" xfId="0" applyFont="1" applyBorder="1" applyAlignment="1">
      <alignment wrapText="1"/>
    </xf>
    <xf numFmtId="0" fontId="10" fillId="14" borderId="15" xfId="0" applyFont="1" applyFill="1" applyBorder="1" applyAlignment="1">
      <alignment horizontal="left" vertical="center"/>
    </xf>
    <xf numFmtId="43" fontId="2" fillId="14" borderId="35" xfId="0" applyNumberFormat="1" applyFont="1" applyFill="1" applyBorder="1"/>
    <xf numFmtId="0" fontId="10" fillId="0" borderId="0" xfId="0" applyFont="1" applyAlignment="1">
      <alignment horizontal="left" vertical="center"/>
    </xf>
    <xf numFmtId="0" fontId="2" fillId="0" borderId="0" xfId="0" applyFont="1"/>
    <xf numFmtId="43" fontId="2" fillId="0" borderId="0" xfId="0" applyNumberFormat="1" applyFont="1"/>
    <xf numFmtId="4" fontId="1" fillId="0" borderId="0" xfId="4" applyNumberFormat="1"/>
    <xf numFmtId="3" fontId="1" fillId="0" borderId="0" xfId="4" applyNumberFormat="1"/>
    <xf numFmtId="164" fontId="50" fillId="0" borderId="55" xfId="5" applyFont="1" applyFill="1" applyBorder="1" applyAlignment="1">
      <alignment vertical="center" wrapText="1"/>
    </xf>
    <xf numFmtId="164" fontId="50" fillId="0" borderId="56" xfId="5" applyFont="1" applyFill="1" applyBorder="1" applyAlignment="1">
      <alignment vertical="center" wrapText="1"/>
    </xf>
    <xf numFmtId="164" fontId="50" fillId="0" borderId="57" xfId="5" applyFont="1" applyFill="1" applyBorder="1" applyAlignment="1">
      <alignment vertical="center" wrapText="1"/>
    </xf>
    <xf numFmtId="0" fontId="23" fillId="0" borderId="0" xfId="4" applyFont="1" applyAlignment="1">
      <alignment vertical="center"/>
    </xf>
    <xf numFmtId="0" fontId="52" fillId="3" borderId="80" xfId="4" applyFont="1" applyFill="1" applyBorder="1" applyAlignment="1">
      <alignment vertical="center" wrapText="1"/>
    </xf>
    <xf numFmtId="0" fontId="53" fillId="3" borderId="54" xfId="4" applyFont="1" applyFill="1" applyBorder="1" applyAlignment="1">
      <alignment vertical="center" wrapText="1"/>
    </xf>
    <xf numFmtId="164" fontId="50" fillId="3" borderId="55" xfId="5" applyFont="1" applyFill="1" applyBorder="1" applyAlignment="1">
      <alignment vertical="center" wrapText="1"/>
    </xf>
    <xf numFmtId="164" fontId="50" fillId="3" borderId="57" xfId="5" applyFont="1" applyFill="1" applyBorder="1" applyAlignment="1">
      <alignment vertical="center" wrapText="1"/>
    </xf>
    <xf numFmtId="164" fontId="50" fillId="3" borderId="56" xfId="5" applyFont="1" applyFill="1" applyBorder="1" applyAlignment="1">
      <alignment vertical="center" wrapText="1"/>
    </xf>
    <xf numFmtId="43" fontId="50" fillId="3" borderId="22" xfId="4" applyNumberFormat="1" applyFont="1" applyFill="1" applyBorder="1" applyAlignment="1">
      <alignment vertical="center" wrapText="1"/>
    </xf>
    <xf numFmtId="43" fontId="50" fillId="3" borderId="23" xfId="4" applyNumberFormat="1" applyFont="1" applyFill="1" applyBorder="1" applyAlignment="1">
      <alignment vertical="center" wrapText="1"/>
    </xf>
    <xf numFmtId="0" fontId="53" fillId="3" borderId="62" xfId="4" applyFont="1" applyFill="1" applyBorder="1" applyAlignment="1">
      <alignment horizontal="left" vertical="center" wrapText="1"/>
    </xf>
    <xf numFmtId="43" fontId="50" fillId="3" borderId="25" xfId="4" applyNumberFormat="1" applyFont="1" applyFill="1" applyBorder="1" applyAlignment="1">
      <alignment vertical="center" wrapText="1"/>
    </xf>
    <xf numFmtId="43" fontId="50" fillId="3" borderId="78" xfId="4" applyNumberFormat="1" applyFont="1" applyFill="1" applyBorder="1" applyAlignment="1">
      <alignment vertical="center" wrapText="1"/>
    </xf>
    <xf numFmtId="0" fontId="53" fillId="3" borderId="66" xfId="4" applyFont="1" applyFill="1" applyBorder="1" applyAlignment="1">
      <alignment horizontal="left" vertical="center" wrapText="1"/>
    </xf>
    <xf numFmtId="43" fontId="50" fillId="3" borderId="10" xfId="4" applyNumberFormat="1" applyFont="1" applyFill="1" applyBorder="1" applyAlignment="1">
      <alignment vertical="center" wrapText="1"/>
    </xf>
    <xf numFmtId="0" fontId="53" fillId="3" borderId="88" xfId="4" applyFont="1" applyFill="1" applyBorder="1" applyAlignment="1">
      <alignment vertical="center" wrapText="1"/>
    </xf>
    <xf numFmtId="0" fontId="53" fillId="3" borderId="79" xfId="4" applyFont="1" applyFill="1" applyBorder="1" applyAlignment="1">
      <alignment horizontal="left" vertical="center" wrapText="1"/>
    </xf>
    <xf numFmtId="43" fontId="50" fillId="3" borderId="84" xfId="4" applyNumberFormat="1" applyFont="1" applyFill="1" applyBorder="1" applyAlignment="1">
      <alignment vertical="center" wrapText="1"/>
    </xf>
    <xf numFmtId="43" fontId="50" fillId="3" borderId="85" xfId="4" applyNumberFormat="1" applyFont="1" applyFill="1" applyBorder="1" applyAlignment="1">
      <alignment vertical="center" wrapText="1"/>
    </xf>
    <xf numFmtId="164" fontId="34" fillId="3" borderId="31" xfId="5" applyFont="1" applyFill="1" applyBorder="1" applyAlignment="1">
      <alignment vertical="center"/>
    </xf>
    <xf numFmtId="0" fontId="32" fillId="6" borderId="15" xfId="4" applyFont="1" applyFill="1" applyBorder="1" applyAlignment="1">
      <alignment horizontal="center" vertical="center"/>
    </xf>
    <xf numFmtId="0" fontId="32" fillId="6" borderId="34" xfId="4" applyFont="1" applyFill="1" applyBorder="1" applyAlignment="1">
      <alignment horizontal="center" vertical="center"/>
    </xf>
    <xf numFmtId="0" fontId="32" fillId="6" borderId="35" xfId="4" applyFont="1" applyFill="1" applyBorder="1" applyAlignment="1">
      <alignment horizontal="center" vertical="center"/>
    </xf>
    <xf numFmtId="0" fontId="25" fillId="0" borderId="0" xfId="4" applyFont="1" applyAlignment="1">
      <alignment vertical="center" wrapText="1"/>
    </xf>
    <xf numFmtId="0" fontId="40" fillId="0" borderId="0" xfId="4" applyFont="1" applyAlignment="1">
      <alignment vertical="center" wrapText="1"/>
    </xf>
    <xf numFmtId="0" fontId="40" fillId="0" borderId="0" xfId="4" applyFont="1" applyAlignment="1">
      <alignment horizontal="center" vertical="center" wrapText="1"/>
    </xf>
    <xf numFmtId="0" fontId="25" fillId="0" borderId="0" xfId="4" applyFont="1" applyAlignment="1">
      <alignment horizontal="center" vertical="center" wrapText="1"/>
    </xf>
    <xf numFmtId="0" fontId="59" fillId="0" borderId="0" xfId="0" applyFont="1" applyAlignment="1">
      <alignment horizontal="center" wrapText="1"/>
    </xf>
    <xf numFmtId="0" fontId="59" fillId="0" borderId="0" xfId="0" applyFont="1" applyAlignment="1">
      <alignment wrapText="1"/>
    </xf>
    <xf numFmtId="0" fontId="57" fillId="15" borderId="143" xfId="0" applyFont="1" applyFill="1" applyBorder="1" applyAlignment="1">
      <alignment horizontal="center"/>
    </xf>
    <xf numFmtId="0" fontId="57" fillId="15" borderId="144" xfId="0" applyFont="1" applyFill="1" applyBorder="1" applyAlignment="1">
      <alignment horizontal="center"/>
    </xf>
    <xf numFmtId="0" fontId="60" fillId="15" borderId="143" xfId="0" applyFont="1" applyFill="1" applyBorder="1" applyAlignment="1">
      <alignment horizontal="center"/>
    </xf>
    <xf numFmtId="0" fontId="60" fillId="15" borderId="144" xfId="0" applyFont="1" applyFill="1" applyBorder="1" applyAlignment="1">
      <alignment horizontal="center"/>
    </xf>
    <xf numFmtId="0" fontId="60" fillId="15" borderId="142" xfId="0" applyFont="1" applyFill="1" applyBorder="1" applyAlignment="1">
      <alignment horizontal="left" vertical="center" wrapText="1"/>
    </xf>
    <xf numFmtId="0" fontId="60" fillId="15" borderId="145" xfId="0" applyFont="1" applyFill="1" applyBorder="1" applyAlignment="1">
      <alignment horizontal="left" vertical="center" wrapText="1"/>
    </xf>
    <xf numFmtId="0" fontId="45" fillId="0" borderId="50" xfId="4" applyFont="1" applyBorder="1" applyAlignment="1">
      <alignment horizontal="center" vertical="center" wrapText="1"/>
    </xf>
    <xf numFmtId="0" fontId="51" fillId="0" borderId="58" xfId="4" applyFont="1" applyBorder="1" applyAlignment="1">
      <alignment horizontal="left" vertical="center" wrapText="1"/>
    </xf>
    <xf numFmtId="0" fontId="51" fillId="0" borderId="63" xfId="4" applyFont="1" applyBorder="1" applyAlignment="1">
      <alignment horizontal="left" vertical="center" wrapText="1"/>
    </xf>
    <xf numFmtId="0" fontId="51" fillId="0" borderId="67" xfId="4" applyFont="1" applyBorder="1" applyAlignment="1">
      <alignment horizontal="left" vertical="center" wrapText="1"/>
    </xf>
    <xf numFmtId="0" fontId="51" fillId="0" borderId="60" xfId="4" applyFont="1" applyBorder="1" applyAlignment="1">
      <alignment horizontal="left" vertical="center" wrapText="1"/>
    </xf>
    <xf numFmtId="0" fontId="51" fillId="0" borderId="65" xfId="4" applyFont="1" applyBorder="1" applyAlignment="1">
      <alignment horizontal="left" vertical="center" wrapText="1"/>
    </xf>
    <xf numFmtId="164" fontId="42" fillId="0" borderId="40" xfId="5" applyFont="1" applyBorder="1" applyAlignment="1">
      <alignment horizontal="left" vertical="center" wrapText="1"/>
    </xf>
    <xf numFmtId="164" fontId="43" fillId="0" borderId="40" xfId="5" applyFont="1" applyBorder="1" applyAlignment="1">
      <alignment horizontal="left"/>
    </xf>
    <xf numFmtId="0" fontId="45" fillId="0" borderId="50" xfId="4" applyFont="1" applyBorder="1" applyAlignment="1">
      <alignment horizontal="center" vertical="top" wrapText="1"/>
    </xf>
    <xf numFmtId="0" fontId="46" fillId="0" borderId="51" xfId="4" applyFont="1" applyBorder="1" applyAlignment="1">
      <alignment vertical="top"/>
    </xf>
    <xf numFmtId="0" fontId="51" fillId="0" borderId="37" xfId="4" applyFont="1" applyBorder="1" applyAlignment="1">
      <alignment horizontal="left" vertical="center" wrapText="1"/>
    </xf>
    <xf numFmtId="0" fontId="53" fillId="0" borderId="117" xfId="4" applyFont="1" applyBorder="1" applyAlignment="1">
      <alignment horizontal="left" vertical="center" wrapText="1"/>
    </xf>
    <xf numFmtId="0" fontId="46" fillId="0" borderId="109" xfId="4" applyFont="1" applyBorder="1" applyAlignment="1">
      <alignment horizontal="left"/>
    </xf>
    <xf numFmtId="0" fontId="53" fillId="0" borderId="106" xfId="4" applyFont="1" applyBorder="1" applyAlignment="1">
      <alignment horizontal="left" vertical="center" wrapText="1"/>
    </xf>
    <xf numFmtId="0" fontId="46" fillId="0" borderId="118" xfId="4" applyFont="1" applyBorder="1" applyAlignment="1">
      <alignment horizontal="left"/>
    </xf>
    <xf numFmtId="43" fontId="42" fillId="0" borderId="124" xfId="4" applyNumberFormat="1" applyFont="1" applyBorder="1" applyAlignment="1">
      <alignment horizontal="center" vertical="center"/>
    </xf>
    <xf numFmtId="43" fontId="42" fillId="0" borderId="49" xfId="4" applyNumberFormat="1" applyFont="1" applyBorder="1" applyAlignment="1">
      <alignment horizontal="center" vertical="center"/>
    </xf>
    <xf numFmtId="0" fontId="51" fillId="0" borderId="42" xfId="4" applyFont="1" applyBorder="1" applyAlignment="1">
      <alignment horizontal="left" vertical="center" wrapText="1"/>
    </xf>
    <xf numFmtId="0" fontId="53" fillId="0" borderId="58" xfId="4" applyFont="1" applyBorder="1" applyAlignment="1">
      <alignment horizontal="left" vertical="center" wrapText="1"/>
    </xf>
    <xf numFmtId="0" fontId="46" fillId="0" borderId="63" xfId="4" applyFont="1" applyBorder="1" applyAlignment="1">
      <alignment horizontal="left"/>
    </xf>
    <xf numFmtId="0" fontId="51" fillId="0" borderId="19" xfId="4" applyFont="1" applyBorder="1" applyAlignment="1">
      <alignment horizontal="left" vertical="center" wrapText="1"/>
    </xf>
    <xf numFmtId="0" fontId="51" fillId="0" borderId="52" xfId="4" applyFont="1" applyBorder="1" applyAlignment="1">
      <alignment horizontal="left" vertical="center" wrapText="1"/>
    </xf>
    <xf numFmtId="0" fontId="51" fillId="0" borderId="76" xfId="4" applyFont="1" applyBorder="1" applyAlignment="1">
      <alignment horizontal="left" vertical="center" wrapText="1"/>
    </xf>
    <xf numFmtId="0" fontId="51" fillId="0" borderId="0" xfId="4" applyFont="1" applyAlignment="1">
      <alignment horizontal="left" vertical="center" wrapText="1"/>
    </xf>
    <xf numFmtId="0" fontId="51" fillId="0" borderId="69" xfId="4" applyFont="1" applyBorder="1" applyAlignment="1">
      <alignment horizontal="left" vertical="center" wrapText="1"/>
    </xf>
    <xf numFmtId="0" fontId="51" fillId="0" borderId="77" xfId="4" applyFont="1" applyBorder="1" applyAlignment="1">
      <alignment horizontal="left" vertical="center" wrapText="1"/>
    </xf>
    <xf numFmtId="0" fontId="51" fillId="3" borderId="37" xfId="4" applyFont="1" applyFill="1" applyBorder="1" applyAlignment="1">
      <alignment horizontal="left" vertical="center" wrapText="1"/>
    </xf>
    <xf numFmtId="0" fontId="51" fillId="3" borderId="60" xfId="4" applyFont="1" applyFill="1" applyBorder="1" applyAlignment="1">
      <alignment horizontal="left" vertical="center" wrapText="1"/>
    </xf>
    <xf numFmtId="0" fontId="51" fillId="3" borderId="65" xfId="4" applyFont="1" applyFill="1" applyBorder="1" applyAlignment="1">
      <alignment horizontal="left" vertical="center" wrapText="1"/>
    </xf>
    <xf numFmtId="0" fontId="51" fillId="3" borderId="67" xfId="4" applyFont="1" applyFill="1" applyBorder="1" applyAlignment="1">
      <alignment horizontal="left" vertical="center" wrapText="1"/>
    </xf>
    <xf numFmtId="0" fontId="9" fillId="0" borderId="15" xfId="1" applyFont="1" applyBorder="1" applyAlignment="1">
      <alignment horizontal="center" vertical="center" wrapText="1"/>
    </xf>
    <xf numFmtId="0" fontId="9" fillId="0" borderId="16" xfId="1" applyFont="1" applyBorder="1" applyAlignment="1">
      <alignment horizontal="center" vertical="center" wrapText="1"/>
    </xf>
    <xf numFmtId="0" fontId="6" fillId="0" borderId="1" xfId="1" applyFont="1" applyBorder="1" applyAlignment="1">
      <alignment horizontal="center" vertical="center" wrapText="1"/>
    </xf>
    <xf numFmtId="43" fontId="6" fillId="0" borderId="6" xfId="2" applyFont="1" applyBorder="1" applyAlignment="1">
      <alignment horizontal="center" vertical="center" wrapText="1"/>
    </xf>
    <xf numFmtId="4" fontId="6" fillId="0" borderId="1" xfId="1" applyNumberFormat="1" applyFont="1" applyBorder="1" applyAlignment="1">
      <alignment horizontal="center" vertical="center" wrapText="1"/>
    </xf>
    <xf numFmtId="2" fontId="6" fillId="0" borderId="133" xfId="1" applyNumberFormat="1" applyFont="1" applyBorder="1" applyAlignment="1">
      <alignment horizontal="center" vertical="center" wrapText="1"/>
    </xf>
    <xf numFmtId="2" fontId="6" fillId="0" borderId="136" xfId="1" applyNumberFormat="1" applyFont="1" applyBorder="1" applyAlignment="1">
      <alignment horizontal="center" vertical="center" wrapText="1"/>
    </xf>
    <xf numFmtId="0" fontId="6" fillId="0" borderId="133" xfId="1" applyFont="1" applyBorder="1" applyAlignment="1">
      <alignment horizontal="center" vertical="center" wrapText="1"/>
    </xf>
    <xf numFmtId="0" fontId="6" fillId="0" borderId="136" xfId="1" applyFont="1" applyBorder="1" applyAlignment="1">
      <alignment horizontal="center" vertical="center" wrapText="1"/>
    </xf>
    <xf numFmtId="43" fontId="6" fillId="0" borderId="134" xfId="2" applyFont="1" applyBorder="1" applyAlignment="1">
      <alignment horizontal="center" vertical="center" wrapText="1"/>
    </xf>
    <xf numFmtId="43" fontId="6" fillId="0" borderId="137" xfId="2" applyFont="1" applyBorder="1" applyAlignment="1">
      <alignment horizontal="center" vertical="center" wrapText="1"/>
    </xf>
    <xf numFmtId="2" fontId="22" fillId="0" borderId="133" xfId="1" applyNumberFormat="1" applyFont="1" applyBorder="1" applyAlignment="1">
      <alignment horizontal="center" vertical="center" wrapText="1"/>
    </xf>
    <xf numFmtId="0" fontId="22" fillId="0" borderId="133" xfId="1" applyFont="1" applyBorder="1" applyAlignment="1">
      <alignment horizontal="center" vertical="center" wrapText="1"/>
    </xf>
    <xf numFmtId="43" fontId="22" fillId="0" borderId="134" xfId="2" applyFont="1" applyBorder="1" applyAlignment="1">
      <alignment horizontal="center" vertical="center" wrapText="1"/>
    </xf>
    <xf numFmtId="0" fontId="5" fillId="0" borderId="20" xfId="0" applyFont="1" applyBorder="1" applyAlignment="1">
      <alignment horizontal="left" vertical="center"/>
    </xf>
    <xf numFmtId="0" fontId="4" fillId="0" borderId="22" xfId="0" applyFont="1" applyBorder="1" applyAlignment="1">
      <alignment horizontal="left" vertical="center"/>
    </xf>
    <xf numFmtId="0" fontId="4" fillId="0" borderId="23" xfId="0" applyFont="1" applyBorder="1" applyAlignment="1">
      <alignment horizontal="left" vertical="center"/>
    </xf>
    <xf numFmtId="0" fontId="4" fillId="0" borderId="24" xfId="0" applyFont="1" applyBorder="1" applyAlignment="1">
      <alignment horizontal="left" vertical="center"/>
    </xf>
    <xf numFmtId="0" fontId="10" fillId="0" borderId="25" xfId="0" applyFont="1" applyBorder="1" applyAlignment="1">
      <alignment horizontal="left" vertical="center" wrapText="1"/>
    </xf>
    <xf numFmtId="0" fontId="10" fillId="0" borderId="10" xfId="0" applyFont="1" applyBorder="1" applyAlignment="1">
      <alignment horizontal="left" vertical="center" wrapText="1"/>
    </xf>
    <xf numFmtId="0" fontId="10" fillId="0" borderId="26" xfId="0" applyFont="1" applyBorder="1" applyAlignment="1">
      <alignment horizontal="left" vertical="center" wrapText="1"/>
    </xf>
    <xf numFmtId="0" fontId="46" fillId="0" borderId="51" xfId="4" applyFont="1" applyBorder="1" applyAlignment="1"/>
  </cellXfs>
  <cellStyles count="8">
    <cellStyle name="Comma" xfId="7" builtinId="3"/>
    <cellStyle name="Comma 2" xfId="5" xr:uid="{E5F34CC9-893C-45DF-9C9E-4C036371C309}"/>
    <cellStyle name="Comma 3" xfId="2" xr:uid="{27693BB5-368C-4931-9ED8-D5DC0B7F1906}"/>
    <cellStyle name="Normal" xfId="0" builtinId="0"/>
    <cellStyle name="Normal 2" xfId="4" xr:uid="{9614D4A5-1DC8-417E-B781-B9CFB8F6D671}"/>
    <cellStyle name="Normal 2 2 2" xfId="3" xr:uid="{46187454-53BA-47F3-AE91-21AC279EB0B3}"/>
    <cellStyle name="Normal 3" xfId="1" xr:uid="{13AB0A83-2FC0-4499-9872-DF010000FAA7}"/>
    <cellStyle name="Percent 2" xfId="6" xr:uid="{9A503A56-91E7-4149-B731-75C268E2473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0</xdr:colOff>
          <xdr:row>31</xdr:row>
          <xdr:rowOff>0</xdr:rowOff>
        </xdr:from>
        <xdr:to>
          <xdr:col>4</xdr:col>
          <xdr:colOff>0</xdr:colOff>
          <xdr:row>31</xdr:row>
          <xdr:rowOff>0</xdr:rowOff>
        </xdr:to>
        <xdr:sp macro="" textlink="">
          <xdr:nvSpPr>
            <xdr:cNvPr id="5121" name="Object 1" hidden="1">
              <a:extLst>
                <a:ext uri="{63B3BB69-23CF-44E3-9099-C40C66FF867C}">
                  <a14:compatExt spid="_x0000_s5121"/>
                </a:ext>
                <a:ext uri="{FF2B5EF4-FFF2-40B4-BE49-F238E27FC236}">
                  <a16:creationId xmlns:a16="http://schemas.microsoft.com/office/drawing/2014/main" id="{00000000-0008-0000-0900-0000011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31</xdr:row>
          <xdr:rowOff>0</xdr:rowOff>
        </xdr:from>
        <xdr:to>
          <xdr:col>4</xdr:col>
          <xdr:colOff>0</xdr:colOff>
          <xdr:row>31</xdr:row>
          <xdr:rowOff>0</xdr:rowOff>
        </xdr:to>
        <xdr:sp macro="" textlink="">
          <xdr:nvSpPr>
            <xdr:cNvPr id="5122" name="Object 2" hidden="1">
              <a:extLst>
                <a:ext uri="{63B3BB69-23CF-44E3-9099-C40C66FF867C}">
                  <a14:compatExt spid="_x0000_s5122"/>
                </a:ext>
                <a:ext uri="{FF2B5EF4-FFF2-40B4-BE49-F238E27FC236}">
                  <a16:creationId xmlns:a16="http://schemas.microsoft.com/office/drawing/2014/main" id="{00000000-0008-0000-0900-0000021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31</xdr:row>
          <xdr:rowOff>0</xdr:rowOff>
        </xdr:from>
        <xdr:to>
          <xdr:col>4</xdr:col>
          <xdr:colOff>0</xdr:colOff>
          <xdr:row>31</xdr:row>
          <xdr:rowOff>0</xdr:rowOff>
        </xdr:to>
        <xdr:sp macro="" textlink="">
          <xdr:nvSpPr>
            <xdr:cNvPr id="5123" name="Object 3" hidden="1">
              <a:extLst>
                <a:ext uri="{63B3BB69-23CF-44E3-9099-C40C66FF867C}">
                  <a14:compatExt spid="_x0000_s5123"/>
                </a:ext>
                <a:ext uri="{FF2B5EF4-FFF2-40B4-BE49-F238E27FC236}">
                  <a16:creationId xmlns:a16="http://schemas.microsoft.com/office/drawing/2014/main" id="{00000000-0008-0000-0900-0000031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31</xdr:row>
          <xdr:rowOff>0</xdr:rowOff>
        </xdr:from>
        <xdr:to>
          <xdr:col>4</xdr:col>
          <xdr:colOff>0</xdr:colOff>
          <xdr:row>31</xdr:row>
          <xdr:rowOff>0</xdr:rowOff>
        </xdr:to>
        <xdr:sp macro="" textlink="">
          <xdr:nvSpPr>
            <xdr:cNvPr id="5124" name="Object 4" hidden="1">
              <a:extLst>
                <a:ext uri="{63B3BB69-23CF-44E3-9099-C40C66FF867C}">
                  <a14:compatExt spid="_x0000_s5124"/>
                </a:ext>
                <a:ext uri="{FF2B5EF4-FFF2-40B4-BE49-F238E27FC236}">
                  <a16:creationId xmlns:a16="http://schemas.microsoft.com/office/drawing/2014/main" id="{00000000-0008-0000-0900-0000041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HP\Desktop\GCF\New%20MOWIE%20project\project%20proposal\GCF%20feedback\4th%20round%20feedback\revised%20documents\Revise%20Annex%204_Detailed%20project%20budget_June%2014%202024%20version.xlsx" TargetMode="External"/><Relationship Id="rId1" Type="http://schemas.openxmlformats.org/officeDocument/2006/relationships/externalLinkPath" Target="/Users/HP/Desktop/GCF/New%20MOWIE%20project/project%20proposal/GCF%20feedback/4th%20round%20feedback/revised%20documents/Revise%20Annex%204_Detailed%20project%20budget_June%2014%202024%20versio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Summary of CAPEX"/>
      <sheetName val="Amhara Kobo Girana- MG + Pump"/>
      <sheetName val="Oromia-Borena MG + Pump"/>
      <sheetName val="BH Rehab"/>
      <sheetName val="Kobo + BorenaPipes and Fittings"/>
      <sheetName val="Kobo Girana Drip Irrigation"/>
      <sheetName val="Kobo Girana Drip Install"/>
      <sheetName val="Borena CPS"/>
      <sheetName val="Borena CPS Install"/>
      <sheetName val="Detailed Project Budget"/>
    </sheetNames>
    <sheetDataSet>
      <sheetData sheetId="0">
        <row r="1">
          <cell r="C1"/>
        </row>
        <row r="2">
          <cell r="C2" t="str">
            <v>Amount  $ Dollar</v>
          </cell>
        </row>
        <row r="3">
          <cell r="C3">
            <v>1901496.25</v>
          </cell>
        </row>
        <row r="4">
          <cell r="C4">
            <v>5844402.2778749987</v>
          </cell>
        </row>
        <row r="5">
          <cell r="C5">
            <v>6056677.8648076914</v>
          </cell>
        </row>
      </sheetData>
      <sheetData sheetId="1"/>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0.xml.rels><?xml version="1.0" encoding="UTF-8" standalone="yes"?>
<Relationships xmlns="http://schemas.openxmlformats.org/package/2006/relationships"><Relationship Id="rId3" Type="http://schemas.openxmlformats.org/officeDocument/2006/relationships/oleObject" Target="../embeddings/oleObject1.bin"/><Relationship Id="rId7" Type="http://schemas.openxmlformats.org/officeDocument/2006/relationships/oleObject" Target="../embeddings/oleObject4.bin"/><Relationship Id="rId2" Type="http://schemas.openxmlformats.org/officeDocument/2006/relationships/vmlDrawing" Target="../drawings/vmlDrawing1.vml"/><Relationship Id="rId1" Type="http://schemas.openxmlformats.org/officeDocument/2006/relationships/drawing" Target="../drawings/drawing1.xml"/><Relationship Id="rId6" Type="http://schemas.openxmlformats.org/officeDocument/2006/relationships/oleObject" Target="../embeddings/oleObject3.bin"/><Relationship Id="rId5" Type="http://schemas.openxmlformats.org/officeDocument/2006/relationships/oleObject" Target="../embeddings/oleObject2.bin"/><Relationship Id="rId4" Type="http://schemas.openxmlformats.org/officeDocument/2006/relationships/image" Target="../media/image1.wmf"/></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1A2D3D-4E69-4106-AADE-B3C53C54DD17}">
  <dimension ref="A1:F29"/>
  <sheetViews>
    <sheetView topLeftCell="A14" workbookViewId="0">
      <selection activeCell="B30" sqref="B30"/>
    </sheetView>
  </sheetViews>
  <sheetFormatPr defaultColWidth="9" defaultRowHeight="14.45"/>
  <cols>
    <col min="1" max="1" width="36.42578125" style="77" bestFit="1" customWidth="1"/>
    <col min="2" max="2" width="21.85546875" style="77" bestFit="1" customWidth="1"/>
    <col min="3" max="3" width="29.140625" style="77" bestFit="1" customWidth="1"/>
    <col min="4" max="5" width="13.85546875" style="77" bestFit="1" customWidth="1"/>
    <col min="6" max="16384" width="9" style="77"/>
  </cols>
  <sheetData>
    <row r="1" spans="1:3" ht="16.5" thickBot="1">
      <c r="A1" s="667" t="s">
        <v>0</v>
      </c>
      <c r="B1" s="668"/>
      <c r="C1" s="669"/>
    </row>
    <row r="2" spans="1:3" ht="16.5" thickBot="1">
      <c r="A2" s="78" t="s">
        <v>1</v>
      </c>
      <c r="B2" s="79" t="s">
        <v>2</v>
      </c>
      <c r="C2" s="79" t="s">
        <v>3</v>
      </c>
    </row>
    <row r="3" spans="1:3" ht="15" thickBot="1">
      <c r="A3" s="80" t="s">
        <v>4</v>
      </c>
      <c r="B3" s="81">
        <v>0.50617105276837404</v>
      </c>
      <c r="C3" s="81">
        <v>0.4938289472316259</v>
      </c>
    </row>
    <row r="4" spans="1:3" ht="15" thickBot="1">
      <c r="A4" s="80" t="s">
        <v>5</v>
      </c>
      <c r="B4" s="81">
        <v>0</v>
      </c>
      <c r="C4" s="81">
        <v>1</v>
      </c>
    </row>
    <row r="5" spans="1:3" ht="15" thickBot="1">
      <c r="A5" s="80" t="s">
        <v>6</v>
      </c>
      <c r="B5" s="81">
        <v>0</v>
      </c>
      <c r="C5" s="81">
        <v>1</v>
      </c>
    </row>
    <row r="6" spans="1:3" ht="15" thickBot="1">
      <c r="A6" s="80" t="s">
        <v>7</v>
      </c>
      <c r="B6" s="81">
        <v>1</v>
      </c>
      <c r="C6" s="81">
        <v>0</v>
      </c>
    </row>
    <row r="7" spans="1:3" ht="15" thickBot="1">
      <c r="A7" s="80" t="s">
        <v>8</v>
      </c>
      <c r="B7" s="81">
        <v>1</v>
      </c>
      <c r="C7" s="81">
        <v>0</v>
      </c>
    </row>
    <row r="8" spans="1:3" ht="15" thickBot="1">
      <c r="A8" s="80" t="s">
        <v>9</v>
      </c>
      <c r="B8" s="81">
        <v>1</v>
      </c>
      <c r="C8" s="81">
        <v>0</v>
      </c>
    </row>
    <row r="9" spans="1:3" ht="15" thickBot="1">
      <c r="A9" s="80" t="s">
        <v>10</v>
      </c>
      <c r="B9" s="81">
        <v>0</v>
      </c>
      <c r="C9" s="81">
        <v>1</v>
      </c>
    </row>
    <row r="10" spans="1:3" ht="15" thickBot="1">
      <c r="A10" s="80" t="s">
        <v>11</v>
      </c>
      <c r="B10" s="81">
        <v>0</v>
      </c>
      <c r="C10" s="81">
        <v>1</v>
      </c>
    </row>
    <row r="11" spans="1:3" ht="28.5" thickBot="1">
      <c r="A11" s="82" t="s">
        <v>12</v>
      </c>
      <c r="B11" s="81"/>
      <c r="C11" s="81"/>
    </row>
    <row r="12" spans="1:3" ht="15" thickBot="1">
      <c r="A12" s="555" t="s">
        <v>13</v>
      </c>
      <c r="B12" s="81">
        <v>1</v>
      </c>
      <c r="C12" s="81"/>
    </row>
    <row r="13" spans="1:3">
      <c r="A13" s="545"/>
      <c r="B13" s="546"/>
      <c r="C13" s="546"/>
    </row>
    <row r="14" spans="1:3" ht="15" thickBot="1"/>
    <row r="15" spans="1:3" ht="16.5" thickBot="1">
      <c r="A15" s="667" t="s">
        <v>14</v>
      </c>
      <c r="B15" s="668"/>
      <c r="C15" s="669"/>
    </row>
    <row r="16" spans="1:3" ht="16.5" thickBot="1">
      <c r="A16" s="78" t="s">
        <v>1</v>
      </c>
      <c r="B16" s="79" t="s">
        <v>2</v>
      </c>
      <c r="C16" s="79" t="s">
        <v>3</v>
      </c>
    </row>
    <row r="17" spans="1:6" ht="15" thickBot="1">
      <c r="A17" s="80" t="s">
        <v>4</v>
      </c>
      <c r="B17" s="549">
        <f>'Budget in GCF Template'!L11+'Budget in GCF Template'!L61</f>
        <v>126830.9</v>
      </c>
      <c r="C17" s="550">
        <f>'Budget in GCF Template'!K5+'Budget in GCF Template'!K11+'Budget in GCF Template'!K31+'Budget in GCF Template'!K38+'Budget in GCF Template'!K41+'Budget in GCF Template'!K46+'Budget in GCF Template'!K51+'Budget in GCF Template'!K60+'Budget in GCF Template'!K66+'Budget in GCF Template'!K70+'Budget in GCF Template'!K73+'Budget in GCF Template'!K76+'Budget in GCF Template'!K80+'Budget in GCF Template'!K101+'Budget in GCF Template'!K105</f>
        <v>1558122.15041315</v>
      </c>
      <c r="D17" s="83">
        <f>B17+C17</f>
        <v>1684953.0504131499</v>
      </c>
      <c r="E17" s="373">
        <f>B17/D17</f>
        <v>7.5272661139668615E-2</v>
      </c>
      <c r="F17" s="373">
        <f>C17/D17</f>
        <v>0.92472733886033143</v>
      </c>
    </row>
    <row r="18" spans="1:6" ht="15" thickBot="1">
      <c r="A18" s="80" t="s">
        <v>5</v>
      </c>
      <c r="B18" s="549"/>
      <c r="C18" s="550">
        <f>'Budget in GCF Template'!K6+'Budget in GCF Template'!K12+'Budget in GCF Template'!K16+'Budget in GCF Template'!K32+'Budget in GCF Template'!K35+'Budget in GCF Template'!K37+'Budget in GCF Template'!K42+'Budget in GCF Template'!K48+'Budget in GCF Template'!K53+'Budget in GCF Template'!K58+'Budget in GCF Template'!K78+'Budget in GCF Template'!K82+'Budget in GCF Template'!K94+'Budget in GCF Template'!K98+'Budget in GCF Template'!K103+'Budget in GCF Template'!K108+'Budget in GCF Template'!K112</f>
        <v>634889.48219585</v>
      </c>
      <c r="D18" s="83">
        <v>866689.78</v>
      </c>
      <c r="E18" s="373">
        <f t="shared" ref="E18:E24" si="0">B18/D18</f>
        <v>0</v>
      </c>
      <c r="F18" s="373">
        <f t="shared" ref="F18:F24" si="1">C18/D18</f>
        <v>0.73254525073071697</v>
      </c>
    </row>
    <row r="19" spans="1:6" ht="15" thickBot="1">
      <c r="A19" s="80" t="s">
        <v>6</v>
      </c>
      <c r="B19" s="549"/>
      <c r="C19" s="550">
        <f>'Budget in GCF Template'!K39+'Budget in GCF Template'!K43+'Budget in GCF Template'!K49+'Budget in GCF Template'!K54+'Budget in GCF Template'!K68+'Budget in GCF Template'!K71+'Budget in GCF Template'!K83+'Budget in GCF Template'!K85+'Budget in GCF Template'!K88+'Budget in GCF Template'!K93+'Budget in GCF Template'!K97+'Budget in GCF Template'!K102+'Budget in GCF Template'!K107+'Budget in GCF Template'!K113</f>
        <v>138550.29999999999</v>
      </c>
      <c r="D19" s="83">
        <v>378750</v>
      </c>
      <c r="E19" s="373">
        <f t="shared" si="0"/>
        <v>0</v>
      </c>
      <c r="F19" s="373">
        <f t="shared" si="1"/>
        <v>0.36580937293729371</v>
      </c>
    </row>
    <row r="20" spans="1:6" ht="15" thickBot="1">
      <c r="A20" s="80" t="s">
        <v>7</v>
      </c>
      <c r="B20" s="549">
        <f>'Budget in GCF Template'!L7</f>
        <v>1426122.1875</v>
      </c>
      <c r="C20" s="551"/>
      <c r="D20" s="83">
        <f t="shared" ref="D20:D26" si="2">B20+C20</f>
        <v>1426122.1875</v>
      </c>
      <c r="E20" s="373">
        <f t="shared" si="0"/>
        <v>1</v>
      </c>
      <c r="F20" s="373">
        <f t="shared" si="1"/>
        <v>0</v>
      </c>
    </row>
    <row r="21" spans="1:6" ht="15" thickBot="1">
      <c r="A21" s="80" t="s">
        <v>8</v>
      </c>
      <c r="B21" s="549">
        <f>'Budget in GCF Template'!L10+'Budget in GCF Template'!L18+'Budget in GCF Template'!L21</f>
        <v>36748782.397874996</v>
      </c>
      <c r="C21" s="551"/>
      <c r="D21" s="83">
        <f t="shared" si="2"/>
        <v>36748782.397874996</v>
      </c>
      <c r="E21" s="373">
        <f t="shared" si="0"/>
        <v>1</v>
      </c>
      <c r="F21" s="373">
        <f t="shared" si="1"/>
        <v>0</v>
      </c>
    </row>
    <row r="22" spans="1:6" ht="15" thickBot="1">
      <c r="A22" s="80" t="s">
        <v>9</v>
      </c>
      <c r="B22" s="549">
        <f>'Budget in GCF Template'!L24+'Budget in GCF Template'!L29+'Budget in GCF Template'!L33+'Budget in GCF Template'!L36+'Budget in GCF Template'!L40+'Budget in GCF Template'!L44+'Budget in GCF Template'!L50+'Budget in GCF Template'!L55+'Budget in GCF Template'!L59+'Budget in GCF Template'!L63+'Budget in GCF Template'!L69+'Budget in GCF Template'!L72+'Budget in GCF Template'!L74+'Budget in GCF Template'!L79+'Budget in GCF Template'!L84+'Budget in GCF Template'!L86+'Budget in GCF Template'!L89+'Budget in GCF Template'!L91+'Budget in GCF Template'!L95+'Budget in GCF Template'!L99+'Budget in GCF Template'!L104+'Budget in GCF Template'!L109+'Budget in GCF Template'!L114+'Budget in GCF Template'!L116+'Budget in GCF Template'!L118+'Budget in GCF Template'!L122+'Budget in GCF Template'!L124+'Budget in GCF Template'!L126</f>
        <v>5779391.1900000004</v>
      </c>
      <c r="C22" s="551"/>
      <c r="D22" s="83">
        <v>5477941.4900000002</v>
      </c>
      <c r="E22" s="373">
        <f t="shared" si="0"/>
        <v>1.0550297407429958</v>
      </c>
      <c r="F22" s="373">
        <f t="shared" si="1"/>
        <v>0</v>
      </c>
    </row>
    <row r="23" spans="1:6" ht="15" thickBot="1">
      <c r="A23" s="80" t="s">
        <v>10</v>
      </c>
      <c r="B23" s="549"/>
      <c r="C23" s="550">
        <f>'Budget in GCF Template'!K15+'Budget in GCF Template'!K28+'Budget in GCF Template'!K47+'Budget in GCF Template'!K52+'Budget in GCF Template'!K57+'Budget in GCF Template'!K62+'Budget in GCF Template'!K67+'Budget in GCF Template'!K77+'Budget in GCF Template'!K90+'Budget in GCF Template'!K81+'Budget in GCF Template'!K92+'Budget in GCF Template'!K96+'Budget in GCF Template'!K106+'Budget in GCF Template'!K111+'Budget in GCF Template'!K115+'Budget in GCF Template'!K117</f>
        <v>459989.33999999997</v>
      </c>
      <c r="D23" s="83">
        <v>617489.34</v>
      </c>
      <c r="E23" s="373">
        <f t="shared" si="0"/>
        <v>0</v>
      </c>
      <c r="F23" s="373">
        <f t="shared" si="1"/>
        <v>0.74493486802541398</v>
      </c>
    </row>
    <row r="24" spans="1:6" ht="15" thickBot="1">
      <c r="A24" s="80" t="s">
        <v>11</v>
      </c>
      <c r="B24" s="549"/>
      <c r="C24" s="549">
        <f>'Budget in GCF Template'!K22</f>
        <v>26250</v>
      </c>
      <c r="D24" s="83">
        <f t="shared" si="2"/>
        <v>26250</v>
      </c>
      <c r="E24" s="373">
        <f t="shared" si="0"/>
        <v>0</v>
      </c>
      <c r="F24" s="373">
        <f t="shared" si="1"/>
        <v>1</v>
      </c>
    </row>
    <row r="25" spans="1:6" ht="28.5" thickBot="1">
      <c r="A25" s="82" t="s">
        <v>12</v>
      </c>
      <c r="B25" s="549"/>
      <c r="C25" s="552">
        <f>'Budget in GCF Template'!K121+'Budget in GCF Template'!K123+'Budget in GCF Template'!K125</f>
        <v>2170296.7200000002</v>
      </c>
      <c r="D25" s="83">
        <v>2170296.7200000002</v>
      </c>
      <c r="E25" s="373"/>
      <c r="F25" s="373"/>
    </row>
    <row r="26" spans="1:6" ht="15" thickBot="1">
      <c r="A26" s="555" t="s">
        <v>13</v>
      </c>
      <c r="B26" s="666">
        <v>3290908</v>
      </c>
      <c r="C26" s="550"/>
      <c r="D26" s="83">
        <f t="shared" si="2"/>
        <v>3290908</v>
      </c>
    </row>
    <row r="27" spans="1:6" ht="15" thickBot="1">
      <c r="A27" s="553" t="s">
        <v>15</v>
      </c>
      <c r="B27" s="554">
        <f>SUM(B17:B26)</f>
        <v>47372034.675374992</v>
      </c>
      <c r="C27" s="554">
        <f>SUM(C17:C26)</f>
        <v>4988097.9926089998</v>
      </c>
      <c r="E27" s="83"/>
    </row>
    <row r="29" spans="1:6">
      <c r="B29" s="374"/>
      <c r="C29" s="374"/>
      <c r="D29" s="374"/>
    </row>
  </sheetData>
  <mergeCells count="2">
    <mergeCell ref="A1:C1"/>
    <mergeCell ref="A15:C15"/>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6EDEDD-AAB3-46D9-8BFD-5735BBC95E40}">
  <dimension ref="A1:F167"/>
  <sheetViews>
    <sheetView tabSelected="1" topLeftCell="A91" workbookViewId="0">
      <selection activeCell="B167" sqref="B167"/>
    </sheetView>
  </sheetViews>
  <sheetFormatPr defaultColWidth="8.85546875" defaultRowHeight="14.45"/>
  <cols>
    <col min="2" max="2" width="76.5703125" customWidth="1"/>
    <col min="3" max="3" width="11.85546875"/>
    <col min="4" max="4" width="12.85546875" style="367" bestFit="1" customWidth="1"/>
    <col min="5" max="5" width="12" style="368"/>
    <col min="6" max="6" width="17.42578125" style="368" customWidth="1"/>
  </cols>
  <sheetData>
    <row r="1" spans="1:6" ht="30">
      <c r="A1" s="427" t="s">
        <v>531</v>
      </c>
      <c r="B1" s="428" t="s">
        <v>532</v>
      </c>
      <c r="C1" s="428" t="s">
        <v>19</v>
      </c>
      <c r="D1" s="429" t="s">
        <v>249</v>
      </c>
      <c r="E1" s="430" t="s">
        <v>533</v>
      </c>
      <c r="F1" s="431" t="s">
        <v>534</v>
      </c>
    </row>
    <row r="2" spans="1:6" ht="18">
      <c r="A2" s="349">
        <v>1</v>
      </c>
      <c r="B2" s="343" t="s">
        <v>697</v>
      </c>
      <c r="C2" s="323"/>
      <c r="D2" s="49"/>
      <c r="E2" s="44"/>
      <c r="F2" s="69"/>
    </row>
    <row r="3" spans="1:6" ht="18">
      <c r="A3" s="350">
        <v>1.1000000000000001</v>
      </c>
      <c r="B3" s="345" t="s">
        <v>698</v>
      </c>
      <c r="C3" s="346" t="s">
        <v>502</v>
      </c>
      <c r="D3" s="50">
        <v>60</v>
      </c>
      <c r="E3" s="45">
        <v>1985.11</v>
      </c>
      <c r="F3" s="70">
        <f>D3*E3</f>
        <v>119106.59999999999</v>
      </c>
    </row>
    <row r="4" spans="1:6" ht="18">
      <c r="A4" s="350">
        <v>1.2</v>
      </c>
      <c r="B4" s="345" t="s">
        <v>228</v>
      </c>
      <c r="C4" s="346" t="s">
        <v>502</v>
      </c>
      <c r="D4" s="50">
        <v>60</v>
      </c>
      <c r="E4" s="45">
        <v>1148.9000000000001</v>
      </c>
      <c r="F4" s="70">
        <f>D4*E4</f>
        <v>68934</v>
      </c>
    </row>
    <row r="5" spans="1:6" ht="18">
      <c r="A5" s="350">
        <v>1.3</v>
      </c>
      <c r="B5" s="345" t="s">
        <v>229</v>
      </c>
      <c r="C5" s="346" t="s">
        <v>502</v>
      </c>
      <c r="D5" s="50">
        <v>60</v>
      </c>
      <c r="E5" s="45">
        <v>1680</v>
      </c>
      <c r="F5" s="70">
        <f>D5*E5</f>
        <v>100800</v>
      </c>
    </row>
    <row r="6" spans="1:6" ht="18">
      <c r="A6" s="351"/>
      <c r="B6" s="352" t="s">
        <v>541</v>
      </c>
      <c r="C6" s="353"/>
      <c r="D6" s="68"/>
      <c r="E6" s="354">
        <v>0</v>
      </c>
      <c r="F6" s="71">
        <f>SUM(F3:F5)</f>
        <v>288840.59999999998</v>
      </c>
    </row>
    <row r="7" spans="1:6" ht="18">
      <c r="A7" s="355"/>
      <c r="B7" s="340"/>
      <c r="C7" s="340"/>
      <c r="D7" s="52"/>
      <c r="E7" s="356">
        <v>0</v>
      </c>
      <c r="F7" s="357"/>
    </row>
    <row r="8" spans="1:6" ht="18">
      <c r="A8" s="355">
        <v>2</v>
      </c>
      <c r="B8" s="330" t="s">
        <v>699</v>
      </c>
      <c r="C8" s="330"/>
      <c r="D8" s="53"/>
      <c r="E8" s="46">
        <v>0</v>
      </c>
      <c r="F8" s="72"/>
    </row>
    <row r="9" spans="1:6" ht="18">
      <c r="A9" s="358">
        <v>2.1</v>
      </c>
      <c r="B9" s="337" t="s">
        <v>700</v>
      </c>
      <c r="C9" s="337"/>
      <c r="D9" s="53"/>
      <c r="E9" s="47">
        <v>0</v>
      </c>
      <c r="F9" s="73"/>
    </row>
    <row r="10" spans="1:6" ht="45">
      <c r="A10" s="350" t="s">
        <v>81</v>
      </c>
      <c r="B10" s="345" t="s">
        <v>701</v>
      </c>
      <c r="C10" s="324" t="s">
        <v>702</v>
      </c>
      <c r="D10" s="54">
        <v>104940.48</v>
      </c>
      <c r="E10" s="45">
        <v>3.4493060800604227</v>
      </c>
      <c r="F10" s="70">
        <f>D10*E10</f>
        <v>361971.8357084592</v>
      </c>
    </row>
    <row r="11" spans="1:6" ht="60">
      <c r="A11" s="350" t="s">
        <v>83</v>
      </c>
      <c r="B11" s="345" t="s">
        <v>703</v>
      </c>
      <c r="C11" s="324" t="s">
        <v>505</v>
      </c>
      <c r="D11" s="54">
        <v>70800</v>
      </c>
      <c r="E11" s="45">
        <v>4.8957892749244714</v>
      </c>
      <c r="F11" s="70">
        <f>D11*E11</f>
        <v>346621.88066465256</v>
      </c>
    </row>
    <row r="12" spans="1:6" ht="45">
      <c r="A12" s="350" t="s">
        <v>85</v>
      </c>
      <c r="B12" s="345" t="s">
        <v>704</v>
      </c>
      <c r="C12" s="324" t="s">
        <v>505</v>
      </c>
      <c r="D12" s="55">
        <v>21698.959999999999</v>
      </c>
      <c r="E12" s="45">
        <v>10.385007552870091</v>
      </c>
      <c r="F12" s="70">
        <f>D12*E12</f>
        <v>225343.86348942597</v>
      </c>
    </row>
    <row r="13" spans="1:6" ht="18">
      <c r="A13" s="359"/>
      <c r="B13" s="352" t="s">
        <v>541</v>
      </c>
      <c r="C13" s="353"/>
      <c r="D13" s="68"/>
      <c r="E13" s="354">
        <v>0</v>
      </c>
      <c r="F13" s="71">
        <f>SUM(F10:F12)</f>
        <v>933937.57986253779</v>
      </c>
    </row>
    <row r="14" spans="1:6" ht="18">
      <c r="A14" s="355"/>
      <c r="B14" s="330" t="s">
        <v>705</v>
      </c>
      <c r="C14" s="330"/>
      <c r="D14" s="53"/>
      <c r="E14" s="46">
        <v>0</v>
      </c>
      <c r="F14" s="72"/>
    </row>
    <row r="15" spans="1:6" ht="30">
      <c r="A15" s="355">
        <v>2.2000000000000002</v>
      </c>
      <c r="B15" s="345" t="s">
        <v>706</v>
      </c>
      <c r="C15" s="324" t="s">
        <v>505</v>
      </c>
      <c r="D15" s="55">
        <v>18.899999999999999</v>
      </c>
      <c r="E15" s="45">
        <v>68.615228474320233</v>
      </c>
      <c r="F15" s="70">
        <f>D15*E15</f>
        <v>1296.8278181646524</v>
      </c>
    </row>
    <row r="16" spans="1:6" ht="18">
      <c r="A16" s="350" t="s">
        <v>88</v>
      </c>
      <c r="B16" s="345" t="s">
        <v>707</v>
      </c>
      <c r="C16" s="324" t="s">
        <v>505</v>
      </c>
      <c r="D16" s="55">
        <v>119</v>
      </c>
      <c r="E16" s="45">
        <v>3.4493060800604227</v>
      </c>
      <c r="F16" s="70">
        <f>D16*E16</f>
        <v>410.46742352719031</v>
      </c>
    </row>
    <row r="17" spans="1:6" ht="18">
      <c r="A17" s="350" t="s">
        <v>90</v>
      </c>
      <c r="B17" s="337" t="s">
        <v>708</v>
      </c>
      <c r="C17" s="323"/>
      <c r="D17" s="55"/>
      <c r="E17" s="45">
        <v>0</v>
      </c>
      <c r="F17" s="69"/>
    </row>
    <row r="18" spans="1:6" ht="30">
      <c r="A18" s="350" t="s">
        <v>92</v>
      </c>
      <c r="B18" s="345" t="s">
        <v>709</v>
      </c>
      <c r="C18" s="324" t="s">
        <v>505</v>
      </c>
      <c r="D18" s="55">
        <v>18.5</v>
      </c>
      <c r="E18" s="45">
        <v>10.385007552870091</v>
      </c>
      <c r="F18" s="70">
        <f>D18*E18</f>
        <v>192.12263972809669</v>
      </c>
    </row>
    <row r="19" spans="1:6" ht="18">
      <c r="A19" s="350" t="s">
        <v>605</v>
      </c>
      <c r="B19" s="337" t="s">
        <v>710</v>
      </c>
      <c r="C19" s="323"/>
      <c r="D19" s="54"/>
      <c r="E19" s="45">
        <v>0</v>
      </c>
      <c r="F19" s="69"/>
    </row>
    <row r="20" spans="1:6" ht="30">
      <c r="A20" s="350" t="s">
        <v>607</v>
      </c>
      <c r="B20" s="345" t="s">
        <v>711</v>
      </c>
      <c r="C20" s="324" t="s">
        <v>505</v>
      </c>
      <c r="D20" s="55">
        <v>23</v>
      </c>
      <c r="E20" s="45">
        <v>50.070572129909365</v>
      </c>
      <c r="F20" s="70">
        <f>D20*E20</f>
        <v>1151.6231589879153</v>
      </c>
    </row>
    <row r="21" spans="1:6" ht="18">
      <c r="A21" s="350" t="s">
        <v>609</v>
      </c>
      <c r="B21" s="345" t="s">
        <v>712</v>
      </c>
      <c r="C21" s="324" t="s">
        <v>713</v>
      </c>
      <c r="D21" s="55">
        <v>110</v>
      </c>
      <c r="E21" s="45">
        <v>5.4706736216012075</v>
      </c>
      <c r="F21" s="70">
        <f>D21*E21</f>
        <v>601.77409837613277</v>
      </c>
    </row>
    <row r="22" spans="1:6" ht="18">
      <c r="A22" s="359"/>
      <c r="B22" s="352" t="s">
        <v>541</v>
      </c>
      <c r="C22" s="353"/>
      <c r="D22" s="68"/>
      <c r="E22" s="354">
        <v>0</v>
      </c>
      <c r="F22" s="71">
        <f>SUM(F15:F21)</f>
        <v>3652.8151387839875</v>
      </c>
    </row>
    <row r="23" spans="1:6" ht="18">
      <c r="A23" s="355"/>
      <c r="B23" s="330" t="s">
        <v>714</v>
      </c>
      <c r="C23" s="360"/>
      <c r="D23" s="56"/>
      <c r="E23" s="361">
        <v>0</v>
      </c>
      <c r="F23" s="362"/>
    </row>
    <row r="24" spans="1:6" ht="18">
      <c r="A24" s="363">
        <v>2.2999999999999998</v>
      </c>
      <c r="B24" s="17" t="s">
        <v>715</v>
      </c>
      <c r="C24" s="17"/>
      <c r="D24" s="57"/>
      <c r="E24" s="48">
        <v>0</v>
      </c>
      <c r="F24" s="74"/>
    </row>
    <row r="25" spans="1:6" ht="18">
      <c r="A25" s="364" t="s">
        <v>95</v>
      </c>
      <c r="B25" s="17" t="s">
        <v>716</v>
      </c>
      <c r="C25" s="17"/>
      <c r="D25" s="57"/>
      <c r="E25" s="48">
        <v>0</v>
      </c>
      <c r="F25" s="74"/>
    </row>
    <row r="26" spans="1:6" ht="30">
      <c r="A26" s="364" t="s">
        <v>97</v>
      </c>
      <c r="B26" s="17" t="s">
        <v>717</v>
      </c>
      <c r="C26" s="17" t="s">
        <v>718</v>
      </c>
      <c r="D26" s="57">
        <v>152000</v>
      </c>
      <c r="E26" s="48">
        <v>3.2762226208459215</v>
      </c>
      <c r="F26" s="74">
        <f>D26*E26</f>
        <v>497985.83836858009</v>
      </c>
    </row>
    <row r="27" spans="1:6" ht="45">
      <c r="A27" s="364" t="s">
        <v>99</v>
      </c>
      <c r="B27" s="17" t="s">
        <v>719</v>
      </c>
      <c r="C27" s="17" t="s">
        <v>718</v>
      </c>
      <c r="D27" s="57">
        <v>81000</v>
      </c>
      <c r="E27" s="48">
        <v>6.92333836858006</v>
      </c>
      <c r="F27" s="74">
        <f>D27*E27</f>
        <v>560790.40785498486</v>
      </c>
    </row>
    <row r="28" spans="1:6" ht="18">
      <c r="A28" s="364" t="s">
        <v>101</v>
      </c>
      <c r="B28" s="17" t="s">
        <v>720</v>
      </c>
      <c r="C28" s="17"/>
      <c r="D28" s="57"/>
      <c r="E28" s="48">
        <v>0</v>
      </c>
      <c r="F28" s="74"/>
    </row>
    <row r="29" spans="1:6" ht="18">
      <c r="A29" s="364" t="s">
        <v>721</v>
      </c>
      <c r="B29" s="17" t="s">
        <v>722</v>
      </c>
      <c r="C29" s="17" t="s">
        <v>718</v>
      </c>
      <c r="D29" s="57">
        <v>31000</v>
      </c>
      <c r="E29" s="48">
        <v>10.632269637462235</v>
      </c>
      <c r="F29" s="74">
        <f>D29*E29</f>
        <v>329600.35876132926</v>
      </c>
    </row>
    <row r="30" spans="1:6" ht="18">
      <c r="A30" s="364" t="s">
        <v>723</v>
      </c>
      <c r="B30" s="17" t="s">
        <v>724</v>
      </c>
      <c r="C30" s="17" t="s">
        <v>718</v>
      </c>
      <c r="D30" s="57">
        <v>22700</v>
      </c>
      <c r="E30" s="48">
        <v>10.632269637462235</v>
      </c>
      <c r="F30" s="74">
        <f>D30*E30</f>
        <v>241352.52077039273</v>
      </c>
    </row>
    <row r="31" spans="1:6" ht="18">
      <c r="A31" s="364" t="s">
        <v>725</v>
      </c>
      <c r="B31" s="17" t="s">
        <v>726</v>
      </c>
      <c r="C31" s="17" t="s">
        <v>727</v>
      </c>
      <c r="D31" s="57">
        <v>43900</v>
      </c>
      <c r="E31" s="48">
        <v>10.508638595166163</v>
      </c>
      <c r="F31" s="74">
        <f>D31*E31</f>
        <v>461329.23432779458</v>
      </c>
    </row>
    <row r="32" spans="1:6" ht="18">
      <c r="A32" s="364" t="s">
        <v>728</v>
      </c>
      <c r="B32" s="17" t="s">
        <v>729</v>
      </c>
      <c r="C32" s="17" t="s">
        <v>727</v>
      </c>
      <c r="D32" s="57">
        <v>18600</v>
      </c>
      <c r="E32" s="48">
        <v>10.508638595166163</v>
      </c>
      <c r="F32" s="74">
        <f>D32*E32</f>
        <v>195460.67787009064</v>
      </c>
    </row>
    <row r="33" spans="1:6" ht="15">
      <c r="A33" s="325"/>
      <c r="B33" s="326" t="s">
        <v>541</v>
      </c>
      <c r="C33" s="327"/>
      <c r="D33" s="51"/>
      <c r="E33" s="365"/>
      <c r="F33" s="75">
        <f>SUM(F26:F32)</f>
        <v>2286519.0379531719</v>
      </c>
    </row>
    <row r="34" spans="1:6" ht="15">
      <c r="A34" s="366">
        <v>3</v>
      </c>
      <c r="B34" s="298" t="s">
        <v>730</v>
      </c>
      <c r="C34" s="58" t="s">
        <v>502</v>
      </c>
      <c r="D34" s="38">
        <v>100</v>
      </c>
      <c r="E34" s="38">
        <v>7160.375</v>
      </c>
      <c r="F34" s="41">
        <f>D34*E34</f>
        <v>716037.5</v>
      </c>
    </row>
    <row r="35" spans="1:6" ht="15">
      <c r="A35" s="366">
        <v>4</v>
      </c>
      <c r="B35" s="298" t="s">
        <v>731</v>
      </c>
      <c r="C35" s="58" t="s">
        <v>502</v>
      </c>
      <c r="D35" s="38">
        <v>100</v>
      </c>
      <c r="E35" s="38">
        <v>4910.625</v>
      </c>
      <c r="F35" s="41">
        <f>D35*E35</f>
        <v>491062.5</v>
      </c>
    </row>
    <row r="36" spans="1:6" ht="15">
      <c r="A36" s="366">
        <v>5</v>
      </c>
      <c r="B36" s="298" t="s">
        <v>732</v>
      </c>
      <c r="C36" s="58" t="s">
        <v>502</v>
      </c>
      <c r="D36" s="38">
        <v>100</v>
      </c>
      <c r="E36" s="38">
        <v>3358.2379326923083</v>
      </c>
      <c r="F36" s="41">
        <f>D36*E36</f>
        <v>335823.79326923081</v>
      </c>
    </row>
    <row r="37" spans="1:6" ht="15.6" thickBot="1">
      <c r="A37" s="531">
        <v>6</v>
      </c>
      <c r="B37" s="532" t="s">
        <v>733</v>
      </c>
      <c r="C37" s="533" t="s">
        <v>734</v>
      </c>
      <c r="D37" s="534">
        <v>100</v>
      </c>
      <c r="E37" s="534">
        <v>30848.798076923074</v>
      </c>
      <c r="F37" s="535">
        <f>D37*E37</f>
        <v>3084879.8076923075</v>
      </c>
    </row>
    <row r="38" spans="1:6" ht="18.600000000000001" thickBot="1">
      <c r="A38" s="536"/>
      <c r="B38" s="537" t="s">
        <v>541</v>
      </c>
      <c r="C38" s="538"/>
      <c r="D38" s="539"/>
      <c r="E38" s="540">
        <v>0</v>
      </c>
      <c r="F38" s="541">
        <f>SUM(F34:F37)</f>
        <v>4627803.600961538</v>
      </c>
    </row>
    <row r="39" spans="1:6" ht="18.600000000000001" thickBot="1">
      <c r="A39" s="515"/>
      <c r="B39" s="516"/>
      <c r="C39" s="517"/>
      <c r="D39" s="518"/>
      <c r="E39" s="519"/>
      <c r="F39" s="520"/>
    </row>
    <row r="40" spans="1:6" ht="15.6" thickBot="1">
      <c r="A40" s="510"/>
      <c r="B40" s="514" t="s">
        <v>735</v>
      </c>
      <c r="C40" s="511"/>
      <c r="D40" s="512"/>
      <c r="E40" s="513"/>
      <c r="F40" s="480">
        <f>F38+F33+F22+F13+F6</f>
        <v>8140753.6339160316</v>
      </c>
    </row>
    <row r="41" spans="1:6" ht="15" thickBot="1"/>
    <row r="42" spans="1:6" ht="30.6" thickBot="1">
      <c r="A42" s="526"/>
      <c r="B42" s="527" t="s">
        <v>219</v>
      </c>
      <c r="C42" s="527" t="s">
        <v>19</v>
      </c>
      <c r="D42" s="528" t="s">
        <v>626</v>
      </c>
      <c r="E42" s="529" t="s">
        <v>627</v>
      </c>
      <c r="F42" s="530" t="s">
        <v>628</v>
      </c>
    </row>
    <row r="43" spans="1:6" ht="15">
      <c r="A43" s="521">
        <v>1</v>
      </c>
      <c r="B43" s="522" t="s">
        <v>697</v>
      </c>
      <c r="C43" s="523"/>
      <c r="D43" s="523"/>
      <c r="E43" s="524"/>
      <c r="F43" s="525"/>
    </row>
    <row r="44" spans="1:6" ht="15">
      <c r="A44" s="344">
        <v>1.1000000000000001</v>
      </c>
      <c r="B44" s="345" t="s">
        <v>698</v>
      </c>
      <c r="C44" s="346" t="s">
        <v>502</v>
      </c>
      <c r="D44" s="346">
        <v>24</v>
      </c>
      <c r="E44" s="21">
        <v>1061.5440586001084</v>
      </c>
      <c r="F44" s="33">
        <f>D44*E44</f>
        <v>25477.0574064026</v>
      </c>
    </row>
    <row r="45" spans="1:6" ht="15">
      <c r="A45" s="344">
        <v>1.2</v>
      </c>
      <c r="B45" s="345" t="s">
        <v>736</v>
      </c>
      <c r="C45" s="346" t="s">
        <v>502</v>
      </c>
      <c r="D45" s="346">
        <v>24</v>
      </c>
      <c r="E45" s="21">
        <v>2670.167281606065</v>
      </c>
      <c r="F45" s="33">
        <f>D45*E45</f>
        <v>64084.014758545556</v>
      </c>
    </row>
    <row r="46" spans="1:6" ht="15">
      <c r="A46" s="344">
        <v>1.3</v>
      </c>
      <c r="B46" s="345" t="s">
        <v>229</v>
      </c>
      <c r="C46" s="346" t="s">
        <v>502</v>
      </c>
      <c r="D46" s="346">
        <v>24</v>
      </c>
      <c r="E46" s="21">
        <v>1061.5440586001084</v>
      </c>
      <c r="F46" s="33">
        <f>D46*E46</f>
        <v>25477.0574064026</v>
      </c>
    </row>
    <row r="47" spans="1:6" ht="15">
      <c r="A47" s="347"/>
      <c r="B47" s="326" t="s">
        <v>541</v>
      </c>
      <c r="C47" s="327"/>
      <c r="D47" s="327"/>
      <c r="E47" s="328">
        <v>0</v>
      </c>
      <c r="F47" s="76">
        <f>SUM(F44:F46)</f>
        <v>115038.12957135076</v>
      </c>
    </row>
    <row r="48" spans="1:6" ht="15">
      <c r="A48" s="369">
        <v>2</v>
      </c>
      <c r="B48" s="337" t="s">
        <v>737</v>
      </c>
      <c r="C48" s="370"/>
      <c r="D48" s="323"/>
      <c r="E48" s="20">
        <v>0</v>
      </c>
      <c r="F48" s="33"/>
    </row>
    <row r="49" spans="1:6" ht="15">
      <c r="A49" s="344">
        <v>2.1</v>
      </c>
      <c r="B49" s="345" t="s">
        <v>738</v>
      </c>
      <c r="C49" s="345" t="s">
        <v>505</v>
      </c>
      <c r="D49" s="345">
        <f>37.5*24</f>
        <v>900</v>
      </c>
      <c r="E49" s="21">
        <v>3.9098752034725992</v>
      </c>
      <c r="F49" s="33">
        <f>D49*E49</f>
        <v>3518.8876831253392</v>
      </c>
    </row>
    <row r="50" spans="1:6" ht="30">
      <c r="A50" s="344">
        <v>2.2000000000000002</v>
      </c>
      <c r="B50" s="345" t="s">
        <v>739</v>
      </c>
      <c r="C50" s="346" t="s">
        <v>740</v>
      </c>
      <c r="D50" s="345">
        <f>33.18*24</f>
        <v>796.31999999999994</v>
      </c>
      <c r="E50" s="21">
        <v>10.591481280520888</v>
      </c>
      <c r="F50" s="33">
        <f>D50*E50</f>
        <v>8434.2083733043928</v>
      </c>
    </row>
    <row r="51" spans="1:6" ht="17.45">
      <c r="A51" s="344">
        <v>2.2999999999999998</v>
      </c>
      <c r="B51" s="345" t="s">
        <v>741</v>
      </c>
      <c r="C51" s="346" t="s">
        <v>742</v>
      </c>
      <c r="D51" s="345">
        <f>16.64*24</f>
        <v>399.36</v>
      </c>
      <c r="E51" s="21">
        <v>20.965816603364082</v>
      </c>
      <c r="F51" s="33">
        <f>D51*E51</f>
        <v>8372.9085187194796</v>
      </c>
    </row>
    <row r="52" spans="1:6" ht="15">
      <c r="A52" s="344">
        <v>2.4</v>
      </c>
      <c r="B52" s="345" t="s">
        <v>743</v>
      </c>
      <c r="C52" s="345" t="s">
        <v>505</v>
      </c>
      <c r="D52" s="345">
        <f>12.35*24</f>
        <v>296.39999999999998</v>
      </c>
      <c r="E52" s="21">
        <v>4.1182854042322301</v>
      </c>
      <c r="F52" s="33">
        <f>D52*E52</f>
        <v>1220.659793814433</v>
      </c>
    </row>
    <row r="53" spans="1:6" ht="15">
      <c r="A53" s="344">
        <v>2.5</v>
      </c>
      <c r="B53" s="345" t="s">
        <v>744</v>
      </c>
      <c r="C53" s="323"/>
      <c r="D53" s="323"/>
      <c r="E53" s="20">
        <v>0</v>
      </c>
      <c r="F53" s="33"/>
    </row>
    <row r="54" spans="1:6" ht="30">
      <c r="A54" s="344">
        <v>2.6</v>
      </c>
      <c r="B54" s="345" t="s">
        <v>745</v>
      </c>
      <c r="C54" s="345" t="s">
        <v>502</v>
      </c>
      <c r="D54" s="346" t="s">
        <v>502</v>
      </c>
      <c r="E54" s="346" t="s">
        <v>502</v>
      </c>
      <c r="F54" s="33">
        <v>89664.026044492668</v>
      </c>
    </row>
    <row r="55" spans="1:6" ht="30">
      <c r="A55" s="344">
        <v>2.7</v>
      </c>
      <c r="B55" s="345" t="s">
        <v>746</v>
      </c>
      <c r="C55" s="345" t="s">
        <v>747</v>
      </c>
      <c r="D55" s="345">
        <f>548*24</f>
        <v>13152</v>
      </c>
      <c r="E55" s="21">
        <v>3.8795442213781879</v>
      </c>
      <c r="F55" s="33">
        <f>D55*E55</f>
        <v>51023.76559956593</v>
      </c>
    </row>
    <row r="56" spans="1:6" ht="30">
      <c r="A56" s="344">
        <v>2.8</v>
      </c>
      <c r="B56" s="345" t="s">
        <v>748</v>
      </c>
      <c r="C56" s="345" t="s">
        <v>747</v>
      </c>
      <c r="D56" s="345">
        <f>46*24</f>
        <v>1104</v>
      </c>
      <c r="E56" s="21">
        <v>15.19262072707542</v>
      </c>
      <c r="F56" s="33">
        <f>D56*E56</f>
        <v>16772.653282691263</v>
      </c>
    </row>
    <row r="57" spans="1:6" ht="30">
      <c r="A57" s="344">
        <v>2.9</v>
      </c>
      <c r="B57" s="345" t="s">
        <v>749</v>
      </c>
      <c r="C57" s="345" t="s">
        <v>747</v>
      </c>
      <c r="D57" s="345">
        <f>24*475.28</f>
        <v>11406.72</v>
      </c>
      <c r="E57" s="21">
        <v>15.19262072707542</v>
      </c>
      <c r="F57" s="33">
        <f>D57*E57</f>
        <v>173297.97069994573</v>
      </c>
    </row>
    <row r="58" spans="1:6" ht="15">
      <c r="A58" s="339" t="s">
        <v>750</v>
      </c>
      <c r="B58" s="340"/>
      <c r="C58" s="340"/>
      <c r="D58" s="340"/>
      <c r="E58" s="341">
        <v>0</v>
      </c>
      <c r="F58" s="32"/>
    </row>
    <row r="59" spans="1:6" ht="15">
      <c r="A59" s="369">
        <v>3</v>
      </c>
      <c r="B59" s="337" t="s">
        <v>751</v>
      </c>
      <c r="C59" s="323"/>
      <c r="D59" s="323"/>
      <c r="E59" s="19">
        <v>0</v>
      </c>
      <c r="F59" s="31"/>
    </row>
    <row r="60" spans="1:6" ht="15">
      <c r="A60" s="344">
        <v>3.1</v>
      </c>
      <c r="B60" s="345" t="s">
        <v>752</v>
      </c>
      <c r="C60" s="346" t="s">
        <v>246</v>
      </c>
      <c r="D60" s="346">
        <v>24</v>
      </c>
      <c r="E60" s="21">
        <v>30.518610960390674</v>
      </c>
      <c r="F60" s="33">
        <f t="shared" ref="F60:F65" si="0">D60*E60</f>
        <v>732.44666304937618</v>
      </c>
    </row>
    <row r="61" spans="1:6" ht="15">
      <c r="A61" s="344">
        <v>3.2</v>
      </c>
      <c r="B61" s="345" t="s">
        <v>753</v>
      </c>
      <c r="C61" s="346" t="s">
        <v>713</v>
      </c>
      <c r="D61" s="346">
        <f>4*24</f>
        <v>96</v>
      </c>
      <c r="E61" s="21">
        <v>16.396364622897451</v>
      </c>
      <c r="F61" s="33">
        <f t="shared" si="0"/>
        <v>1574.0510037981553</v>
      </c>
    </row>
    <row r="62" spans="1:6" ht="30">
      <c r="A62" s="344">
        <v>3.3</v>
      </c>
      <c r="B62" s="345" t="s">
        <v>754</v>
      </c>
      <c r="C62" s="346" t="s">
        <v>713</v>
      </c>
      <c r="D62" s="346">
        <v>96</v>
      </c>
      <c r="E62" s="21">
        <v>6.9782419967444396</v>
      </c>
      <c r="F62" s="33">
        <f t="shared" si="0"/>
        <v>669.91123168746617</v>
      </c>
    </row>
    <row r="63" spans="1:6" ht="30">
      <c r="A63" s="344">
        <v>3.4</v>
      </c>
      <c r="B63" s="345" t="s">
        <v>755</v>
      </c>
      <c r="C63" s="346" t="s">
        <v>713</v>
      </c>
      <c r="D63" s="346">
        <f>6*24</f>
        <v>144</v>
      </c>
      <c r="E63" s="21">
        <v>10.625366250678242</v>
      </c>
      <c r="F63" s="33">
        <f t="shared" si="0"/>
        <v>1530.0527400976669</v>
      </c>
    </row>
    <row r="64" spans="1:6" ht="15">
      <c r="A64" s="344">
        <v>3.5</v>
      </c>
      <c r="B64" s="345" t="s">
        <v>756</v>
      </c>
      <c r="C64" s="346" t="s">
        <v>317</v>
      </c>
      <c r="D64" s="346">
        <f>5*24</f>
        <v>120</v>
      </c>
      <c r="E64" s="21">
        <v>21.161150298426481</v>
      </c>
      <c r="F64" s="33">
        <f t="shared" si="0"/>
        <v>2539.3380358111776</v>
      </c>
    </row>
    <row r="65" spans="1:6" ht="15">
      <c r="A65" s="344">
        <v>3.6</v>
      </c>
      <c r="B65" s="345" t="s">
        <v>757</v>
      </c>
      <c r="C65" s="346" t="s">
        <v>246</v>
      </c>
      <c r="D65" s="346">
        <v>24</v>
      </c>
      <c r="E65" s="21">
        <v>35.268583830710796</v>
      </c>
      <c r="F65" s="33">
        <f t="shared" si="0"/>
        <v>846.4460119370591</v>
      </c>
    </row>
    <row r="66" spans="1:6" ht="15">
      <c r="A66" s="347"/>
      <c r="B66" s="326" t="s">
        <v>541</v>
      </c>
      <c r="C66" s="327"/>
      <c r="D66" s="327"/>
      <c r="E66" s="328">
        <v>0</v>
      </c>
      <c r="F66" s="76">
        <f>SUM(F60:F65)</f>
        <v>7892.2456863809011</v>
      </c>
    </row>
    <row r="67" spans="1:6" ht="15">
      <c r="A67" s="369">
        <v>4</v>
      </c>
      <c r="B67" s="337" t="s">
        <v>758</v>
      </c>
      <c r="C67" s="323"/>
      <c r="D67" s="323"/>
      <c r="E67" s="20">
        <v>0</v>
      </c>
      <c r="F67" s="32"/>
    </row>
    <row r="68" spans="1:6" ht="15">
      <c r="A68" s="344">
        <v>4.0999999999999996</v>
      </c>
      <c r="B68" s="345" t="s">
        <v>759</v>
      </c>
      <c r="C68" s="346" t="s">
        <v>713</v>
      </c>
      <c r="D68" s="346">
        <f>444*24</f>
        <v>10656</v>
      </c>
      <c r="E68" s="21">
        <v>5.7135105805751492</v>
      </c>
      <c r="F68" s="33">
        <f>D68*E68</f>
        <v>60883.16874660879</v>
      </c>
    </row>
    <row r="69" spans="1:6" ht="30">
      <c r="A69" s="344">
        <v>4.2</v>
      </c>
      <c r="B69" s="345" t="s">
        <v>760</v>
      </c>
      <c r="C69" s="346" t="s">
        <v>713</v>
      </c>
      <c r="D69" s="346">
        <f>444*24</f>
        <v>10656</v>
      </c>
      <c r="E69" s="21">
        <v>1.8713510580575154</v>
      </c>
      <c r="F69" s="33">
        <f>D69*E69</f>
        <v>19941.116874660886</v>
      </c>
    </row>
    <row r="70" spans="1:6" ht="15">
      <c r="A70" s="344">
        <v>4.3</v>
      </c>
      <c r="B70" s="345" t="s">
        <v>761</v>
      </c>
      <c r="C70" s="346" t="s">
        <v>713</v>
      </c>
      <c r="D70" s="346">
        <f>85*24</f>
        <v>2040</v>
      </c>
      <c r="E70" s="21">
        <v>15.870862723819858</v>
      </c>
      <c r="F70" s="33">
        <f>D70*E70</f>
        <v>32376.559956592511</v>
      </c>
    </row>
    <row r="71" spans="1:6" ht="15">
      <c r="A71" s="344">
        <v>4.4000000000000004</v>
      </c>
      <c r="B71" s="345" t="s">
        <v>762</v>
      </c>
      <c r="C71" s="346" t="s">
        <v>713</v>
      </c>
      <c r="D71" s="346">
        <f>66*24</f>
        <v>1584</v>
      </c>
      <c r="E71" s="21">
        <v>1.7634291915355398</v>
      </c>
      <c r="F71" s="33">
        <f>D71*E71</f>
        <v>2793.2718393922951</v>
      </c>
    </row>
    <row r="72" spans="1:6" ht="15">
      <c r="A72" s="344">
        <v>4.5</v>
      </c>
      <c r="B72" s="345" t="s">
        <v>763</v>
      </c>
      <c r="C72" s="346" t="s">
        <v>317</v>
      </c>
      <c r="D72" s="346">
        <f>37*24</f>
        <v>888</v>
      </c>
      <c r="E72" s="21">
        <v>17.634291915355398</v>
      </c>
      <c r="F72" s="33">
        <f>D72*E72</f>
        <v>15659.251220835593</v>
      </c>
    </row>
    <row r="73" spans="1:6" ht="15">
      <c r="A73" s="369">
        <v>5</v>
      </c>
      <c r="B73" s="337" t="s">
        <v>764</v>
      </c>
      <c r="C73" s="323"/>
      <c r="D73" s="323"/>
      <c r="E73" s="20">
        <v>0</v>
      </c>
      <c r="F73" s="32"/>
    </row>
    <row r="74" spans="1:6" ht="45">
      <c r="A74" s="344">
        <v>5.0999999999999996</v>
      </c>
      <c r="B74" s="345" t="s">
        <v>765</v>
      </c>
      <c r="C74" s="346" t="s">
        <v>317</v>
      </c>
      <c r="D74" s="346">
        <f>72*24</f>
        <v>1728</v>
      </c>
      <c r="E74" s="21">
        <v>57.782637004883341</v>
      </c>
      <c r="F74" s="33">
        <f>D74*E74</f>
        <v>99848.396744438418</v>
      </c>
    </row>
    <row r="75" spans="1:6" ht="30">
      <c r="A75" s="344">
        <v>5.2</v>
      </c>
      <c r="B75" s="345" t="s">
        <v>766</v>
      </c>
      <c r="C75" s="346" t="s">
        <v>246</v>
      </c>
      <c r="D75" s="346">
        <v>24</v>
      </c>
      <c r="E75" s="21">
        <v>529.02875746066195</v>
      </c>
      <c r="F75" s="33">
        <f>D75*E75</f>
        <v>12696.690179055888</v>
      </c>
    </row>
    <row r="76" spans="1:6" ht="15">
      <c r="A76" s="347"/>
      <c r="B76" s="326" t="s">
        <v>541</v>
      </c>
      <c r="C76" s="327"/>
      <c r="D76" s="327"/>
      <c r="E76" s="328">
        <v>0</v>
      </c>
      <c r="F76" s="76">
        <f>SUM(F68:F75)</f>
        <v>244198.45556158439</v>
      </c>
    </row>
    <row r="77" spans="1:6" ht="15">
      <c r="A77" s="348"/>
      <c r="B77" s="323"/>
      <c r="C77" s="323"/>
      <c r="D77" s="323"/>
      <c r="E77" s="20">
        <v>0</v>
      </c>
      <c r="F77" s="32"/>
    </row>
    <row r="78" spans="1:6" ht="15">
      <c r="A78" s="369">
        <v>6</v>
      </c>
      <c r="B78" s="340" t="s">
        <v>767</v>
      </c>
      <c r="C78" s="340"/>
      <c r="D78" s="340"/>
      <c r="E78" s="341">
        <v>0</v>
      </c>
      <c r="F78" s="342"/>
    </row>
    <row r="79" spans="1:6" ht="15">
      <c r="A79" s="369"/>
      <c r="B79" s="337" t="s">
        <v>768</v>
      </c>
      <c r="C79" s="323"/>
      <c r="D79" s="323"/>
      <c r="E79" s="20">
        <v>0</v>
      </c>
      <c r="F79" s="32"/>
    </row>
    <row r="80" spans="1:6" ht="15">
      <c r="A80" s="344">
        <v>6.1</v>
      </c>
      <c r="B80" s="345" t="s">
        <v>769</v>
      </c>
      <c r="C80" s="346" t="s">
        <v>713</v>
      </c>
      <c r="D80" s="346">
        <v>696.96</v>
      </c>
      <c r="E80" s="21">
        <v>5.7135105805751492</v>
      </c>
      <c r="F80" s="33">
        <f>D80*E80</f>
        <v>3982.088334237656</v>
      </c>
    </row>
    <row r="81" spans="1:6" ht="15">
      <c r="A81" s="344">
        <v>6.2</v>
      </c>
      <c r="B81" s="345" t="s">
        <v>770</v>
      </c>
      <c r="C81" s="346" t="s">
        <v>505</v>
      </c>
      <c r="D81" s="346">
        <v>322.56</v>
      </c>
      <c r="E81" s="21">
        <v>5.8193163320672818</v>
      </c>
      <c r="F81" s="33">
        <f>D81*E81</f>
        <v>1877.0786760716223</v>
      </c>
    </row>
    <row r="82" spans="1:6" ht="15">
      <c r="A82" s="344">
        <v>6.3</v>
      </c>
      <c r="B82" s="345" t="s">
        <v>771</v>
      </c>
      <c r="C82" s="346" t="s">
        <v>505</v>
      </c>
      <c r="D82" s="346">
        <v>47.519999999999996</v>
      </c>
      <c r="E82" s="21">
        <v>13.225718936516548</v>
      </c>
      <c r="F82" s="33">
        <f>D82*E82</f>
        <v>628.48616386326637</v>
      </c>
    </row>
    <row r="83" spans="1:6" ht="15">
      <c r="A83" s="344">
        <v>6.4</v>
      </c>
      <c r="B83" s="346" t="s">
        <v>772</v>
      </c>
      <c r="C83" s="346" t="s">
        <v>505</v>
      </c>
      <c r="D83" s="346">
        <v>544.31999999999994</v>
      </c>
      <c r="E83" s="21">
        <v>197.82148670645688</v>
      </c>
      <c r="F83" s="33">
        <f>D83*E83</f>
        <v>107678.19164405859</v>
      </c>
    </row>
    <row r="84" spans="1:6" ht="15">
      <c r="A84" s="344">
        <v>6.5</v>
      </c>
      <c r="B84" s="345" t="s">
        <v>773</v>
      </c>
      <c r="C84" s="323"/>
      <c r="D84" s="323"/>
      <c r="E84" s="20">
        <v>0</v>
      </c>
      <c r="F84" s="33"/>
    </row>
    <row r="85" spans="1:6" ht="15">
      <c r="A85" s="344">
        <v>6.6</v>
      </c>
      <c r="B85" s="345" t="s">
        <v>774</v>
      </c>
      <c r="C85" s="346" t="s">
        <v>713</v>
      </c>
      <c r="D85" s="346">
        <v>264.95999999999998</v>
      </c>
      <c r="E85" s="21">
        <v>2.2459034183396636</v>
      </c>
      <c r="F85" s="33">
        <f>D85*E85</f>
        <v>595.07456972327725</v>
      </c>
    </row>
    <row r="86" spans="1:6" ht="15">
      <c r="A86" s="344">
        <v>6.7</v>
      </c>
      <c r="B86" s="345" t="s">
        <v>775</v>
      </c>
      <c r="C86" s="345" t="s">
        <v>713</v>
      </c>
      <c r="D86" s="346">
        <v>264.95999999999998</v>
      </c>
      <c r="E86" s="21">
        <v>6.8805480195333706</v>
      </c>
      <c r="F86" s="33">
        <f>D86*E86</f>
        <v>1823.0700032555617</v>
      </c>
    </row>
    <row r="87" spans="1:6" ht="15">
      <c r="A87" s="344">
        <v>6.8</v>
      </c>
      <c r="B87" s="345" t="s">
        <v>776</v>
      </c>
      <c r="C87" s="345" t="s">
        <v>505</v>
      </c>
      <c r="D87" s="346">
        <v>236.16</v>
      </c>
      <c r="E87" s="21">
        <v>52.814704286489416</v>
      </c>
      <c r="F87" s="33">
        <f>D87*E87</f>
        <v>12472.72056429734</v>
      </c>
    </row>
    <row r="88" spans="1:6" ht="30">
      <c r="A88" s="369">
        <v>7</v>
      </c>
      <c r="B88" s="337" t="s">
        <v>777</v>
      </c>
      <c r="C88" s="323"/>
      <c r="D88" s="323"/>
      <c r="E88" s="20">
        <v>0</v>
      </c>
      <c r="F88" s="32"/>
    </row>
    <row r="89" spans="1:6" ht="15">
      <c r="A89" s="369">
        <v>7.1</v>
      </c>
      <c r="B89" s="345" t="s">
        <v>778</v>
      </c>
      <c r="C89" s="346" t="s">
        <v>505</v>
      </c>
      <c r="D89" s="346">
        <v>9.84</v>
      </c>
      <c r="E89" s="21">
        <v>5.1051275094953885</v>
      </c>
      <c r="F89" s="33">
        <f>D89*E89</f>
        <v>50.234454693434621</v>
      </c>
    </row>
    <row r="90" spans="1:6" ht="15">
      <c r="A90" s="369">
        <v>8</v>
      </c>
      <c r="B90" s="337" t="s">
        <v>779</v>
      </c>
      <c r="C90" s="323"/>
      <c r="D90" s="323"/>
      <c r="E90" s="20">
        <v>0</v>
      </c>
      <c r="F90" s="33"/>
    </row>
    <row r="91" spans="1:6" ht="15">
      <c r="A91" s="344">
        <v>8.1</v>
      </c>
      <c r="B91" s="345" t="s">
        <v>780</v>
      </c>
      <c r="C91" s="346" t="s">
        <v>505</v>
      </c>
      <c r="D91" s="346">
        <v>19.440000000000001</v>
      </c>
      <c r="E91" s="21">
        <v>126.13491589799239</v>
      </c>
      <c r="F91" s="33">
        <f>D91*E91</f>
        <v>2452.0627650569722</v>
      </c>
    </row>
    <row r="92" spans="1:6" ht="15">
      <c r="A92" s="344">
        <v>8.1999999999999993</v>
      </c>
      <c r="B92" s="345" t="s">
        <v>781</v>
      </c>
      <c r="C92" s="346" t="s">
        <v>505</v>
      </c>
      <c r="D92" s="346">
        <v>25.92</v>
      </c>
      <c r="E92" s="21">
        <v>126.13491589799239</v>
      </c>
      <c r="F92" s="33">
        <f>D92*E92</f>
        <v>3269.4170200759627</v>
      </c>
    </row>
    <row r="93" spans="1:6" ht="15">
      <c r="A93" s="344">
        <v>8.3000000000000007</v>
      </c>
      <c r="B93" s="345" t="s">
        <v>782</v>
      </c>
      <c r="C93" s="323"/>
      <c r="D93" s="323"/>
      <c r="E93" s="21">
        <v>0</v>
      </c>
      <c r="F93" s="33"/>
    </row>
    <row r="94" spans="1:6" ht="15">
      <c r="A94" s="344">
        <v>8.4</v>
      </c>
      <c r="B94" s="345" t="s">
        <v>783</v>
      </c>
      <c r="C94" s="346" t="s">
        <v>505</v>
      </c>
      <c r="D94" s="346">
        <v>15.36</v>
      </c>
      <c r="E94" s="21">
        <v>141.28982637004884</v>
      </c>
      <c r="F94" s="33">
        <f>D94*E94</f>
        <v>2170.2117330439501</v>
      </c>
    </row>
    <row r="95" spans="1:6" ht="15">
      <c r="A95" s="344">
        <v>8.5</v>
      </c>
      <c r="B95" s="345" t="s">
        <v>784</v>
      </c>
      <c r="C95" s="346" t="s">
        <v>505</v>
      </c>
      <c r="D95" s="346">
        <v>115.19999999999999</v>
      </c>
      <c r="E95" s="21">
        <v>141.28982637004884</v>
      </c>
      <c r="F95" s="33">
        <f>D95*E95</f>
        <v>16276.587997829625</v>
      </c>
    </row>
    <row r="96" spans="1:6" ht="15">
      <c r="A96" s="344">
        <v>8.6</v>
      </c>
      <c r="B96" s="345" t="s">
        <v>785</v>
      </c>
      <c r="C96" s="346" t="s">
        <v>505</v>
      </c>
      <c r="D96" s="346">
        <v>85.44</v>
      </c>
      <c r="E96" s="21">
        <v>141.28982637004884</v>
      </c>
      <c r="F96" s="33">
        <f>D96*E96</f>
        <v>12071.802765056973</v>
      </c>
    </row>
    <row r="97" spans="1:6" ht="15">
      <c r="A97" s="344">
        <v>8.6999999999999993</v>
      </c>
      <c r="B97" s="345" t="s">
        <v>786</v>
      </c>
      <c r="C97" s="346" t="s">
        <v>505</v>
      </c>
      <c r="D97" s="346">
        <v>99.600000000000009</v>
      </c>
      <c r="E97" s="21">
        <v>141.28982637004884</v>
      </c>
      <c r="F97" s="33">
        <f>D97*E97</f>
        <v>14072.466706456866</v>
      </c>
    </row>
    <row r="98" spans="1:6" ht="15">
      <c r="A98" s="344">
        <v>8.8000000000000007</v>
      </c>
      <c r="B98" s="345" t="s">
        <v>787</v>
      </c>
      <c r="C98" s="346" t="s">
        <v>505</v>
      </c>
      <c r="D98" s="346">
        <v>231.84</v>
      </c>
      <c r="E98" s="21">
        <v>141.28982637004884</v>
      </c>
      <c r="F98" s="33">
        <f>D98*E98</f>
        <v>32756.633345632123</v>
      </c>
    </row>
    <row r="99" spans="1:6" ht="15">
      <c r="A99" s="369">
        <v>9</v>
      </c>
      <c r="B99" s="337" t="s">
        <v>788</v>
      </c>
      <c r="C99" s="323"/>
      <c r="D99" s="323"/>
      <c r="E99" s="21">
        <v>0</v>
      </c>
      <c r="F99" s="33"/>
    </row>
    <row r="100" spans="1:6" ht="15">
      <c r="A100" s="344">
        <v>9.1</v>
      </c>
      <c r="B100" s="345" t="s">
        <v>789</v>
      </c>
      <c r="C100" s="346" t="s">
        <v>713</v>
      </c>
      <c r="D100" s="346">
        <v>301.44</v>
      </c>
      <c r="E100" s="21">
        <v>11.9828540423223</v>
      </c>
      <c r="F100" s="33">
        <f>D100*E100</f>
        <v>3612.1115225176341</v>
      </c>
    </row>
    <row r="101" spans="1:6" ht="15">
      <c r="A101" s="344">
        <v>9.1999999999999993</v>
      </c>
      <c r="B101" s="345" t="s">
        <v>790</v>
      </c>
      <c r="C101" s="346" t="s">
        <v>713</v>
      </c>
      <c r="D101" s="346">
        <v>418.08000000000004</v>
      </c>
      <c r="E101" s="21">
        <v>11.9828540423223</v>
      </c>
      <c r="F101" s="33">
        <f>D101*E101</f>
        <v>5009.7916180141074</v>
      </c>
    </row>
    <row r="102" spans="1:6" ht="15">
      <c r="A102" s="344">
        <v>9.3000000000000007</v>
      </c>
      <c r="B102" s="345" t="s">
        <v>791</v>
      </c>
      <c r="C102" s="346" t="s">
        <v>713</v>
      </c>
      <c r="D102" s="346">
        <v>4.5</v>
      </c>
      <c r="E102" s="21">
        <v>11.9828540423223</v>
      </c>
      <c r="F102" s="33">
        <f>D102*E102</f>
        <v>53.922843190450351</v>
      </c>
    </row>
    <row r="103" spans="1:6" ht="15">
      <c r="A103" s="344">
        <v>9.4</v>
      </c>
      <c r="B103" s="345" t="s">
        <v>792</v>
      </c>
      <c r="C103" s="346" t="s">
        <v>713</v>
      </c>
      <c r="D103" s="346">
        <v>593.28</v>
      </c>
      <c r="E103" s="21">
        <v>11.9828540423223</v>
      </c>
      <c r="F103" s="33">
        <f>D103*E103</f>
        <v>7109.1876462289738</v>
      </c>
    </row>
    <row r="104" spans="1:6" ht="15">
      <c r="A104" s="344">
        <v>9.5</v>
      </c>
      <c r="B104" s="345" t="s">
        <v>793</v>
      </c>
      <c r="C104" s="346" t="s">
        <v>794</v>
      </c>
      <c r="D104" s="346">
        <v>12000</v>
      </c>
      <c r="E104" s="21">
        <v>11.9828540423223</v>
      </c>
      <c r="F104" s="33">
        <f>D104*E104</f>
        <v>143794.2485078676</v>
      </c>
    </row>
    <row r="105" spans="1:6" ht="15">
      <c r="A105" s="369">
        <v>10</v>
      </c>
      <c r="B105" s="337" t="s">
        <v>795</v>
      </c>
      <c r="C105" s="323"/>
      <c r="D105" s="323"/>
      <c r="E105" s="21">
        <v>0</v>
      </c>
      <c r="F105" s="32"/>
    </row>
    <row r="106" spans="1:6" ht="15">
      <c r="A106" s="344">
        <v>10.1</v>
      </c>
      <c r="B106" s="345" t="s">
        <v>796</v>
      </c>
      <c r="C106" s="346" t="s">
        <v>317</v>
      </c>
      <c r="D106" s="346">
        <f>15*24</f>
        <v>360</v>
      </c>
      <c r="E106" s="21">
        <v>44.256077048290834</v>
      </c>
      <c r="F106" s="33">
        <f>D106*E106</f>
        <v>15932.1877373847</v>
      </c>
    </row>
    <row r="107" spans="1:6" ht="15">
      <c r="A107" s="369">
        <v>11</v>
      </c>
      <c r="B107" s="337" t="s">
        <v>797</v>
      </c>
      <c r="C107" s="323"/>
      <c r="D107" s="323"/>
      <c r="E107" s="21">
        <v>0</v>
      </c>
      <c r="F107" s="32"/>
    </row>
    <row r="108" spans="1:6" ht="30">
      <c r="A108" s="344">
        <v>11.1</v>
      </c>
      <c r="B108" s="345" t="s">
        <v>798</v>
      </c>
      <c r="C108" s="346" t="s">
        <v>246</v>
      </c>
      <c r="D108" s="346">
        <f>5*24</f>
        <v>120</v>
      </c>
      <c r="E108" s="21">
        <v>36.450434074877919</v>
      </c>
      <c r="F108" s="33">
        <f>D108*E108</f>
        <v>4374.0520889853506</v>
      </c>
    </row>
    <row r="109" spans="1:6" ht="15">
      <c r="A109" s="369">
        <v>12</v>
      </c>
      <c r="B109" s="345" t="s">
        <v>799</v>
      </c>
      <c r="C109" s="323"/>
      <c r="D109" s="323"/>
      <c r="E109" s="21">
        <v>0</v>
      </c>
      <c r="F109" s="33"/>
    </row>
    <row r="110" spans="1:6" ht="15">
      <c r="A110" s="344">
        <v>12.1</v>
      </c>
      <c r="B110" s="345" t="s">
        <v>800</v>
      </c>
      <c r="C110" s="346" t="s">
        <v>713</v>
      </c>
      <c r="D110" s="346">
        <f>11.3*24</f>
        <v>271.20000000000005</v>
      </c>
      <c r="E110" s="21">
        <v>13.374905046120457</v>
      </c>
      <c r="F110" s="33">
        <f>D110*E110</f>
        <v>3627.2742485078684</v>
      </c>
    </row>
    <row r="111" spans="1:6" ht="15">
      <c r="A111" s="344">
        <v>12.2</v>
      </c>
      <c r="B111" s="345" t="s">
        <v>801</v>
      </c>
      <c r="C111" s="346" t="s">
        <v>713</v>
      </c>
      <c r="D111" s="346">
        <f>44.2*24</f>
        <v>1060.8000000000002</v>
      </c>
      <c r="E111" s="21">
        <v>16.396364622897451</v>
      </c>
      <c r="F111" s="33">
        <f>D111*E111</f>
        <v>17393.263591969619</v>
      </c>
    </row>
    <row r="112" spans="1:6" ht="15">
      <c r="A112" s="369">
        <v>13</v>
      </c>
      <c r="B112" s="337" t="s">
        <v>802</v>
      </c>
      <c r="C112" s="323"/>
      <c r="D112" s="323"/>
      <c r="E112" s="21">
        <v>0</v>
      </c>
      <c r="F112" s="32"/>
    </row>
    <row r="113" spans="1:6" ht="30">
      <c r="A113" s="344">
        <v>13.1</v>
      </c>
      <c r="B113" s="345" t="s">
        <v>803</v>
      </c>
      <c r="C113" s="346" t="s">
        <v>713</v>
      </c>
      <c r="D113" s="346">
        <f>54.2*24</f>
        <v>1300.8000000000002</v>
      </c>
      <c r="E113" s="21">
        <v>6.9782419967444396</v>
      </c>
      <c r="F113" s="33">
        <f>D113*E113</f>
        <v>9077.2971893651684</v>
      </c>
    </row>
    <row r="114" spans="1:6" ht="15">
      <c r="A114" s="344">
        <v>13.2</v>
      </c>
      <c r="B114" s="345" t="s">
        <v>804</v>
      </c>
      <c r="C114" s="346" t="s">
        <v>713</v>
      </c>
      <c r="D114" s="346">
        <f>41.2*24</f>
        <v>988.80000000000007</v>
      </c>
      <c r="E114" s="21">
        <v>10.625366250678242</v>
      </c>
      <c r="F114" s="33">
        <f>D114*E114</f>
        <v>10506.362148670647</v>
      </c>
    </row>
    <row r="115" spans="1:6" ht="15">
      <c r="A115" s="344">
        <v>13.3</v>
      </c>
      <c r="B115" s="345" t="s">
        <v>805</v>
      </c>
      <c r="C115" s="346" t="s">
        <v>317</v>
      </c>
      <c r="D115" s="346">
        <f>34*24</f>
        <v>816</v>
      </c>
      <c r="E115" s="21">
        <v>19.397721106890941</v>
      </c>
      <c r="F115" s="33">
        <f>D115*E115</f>
        <v>15828.540423223008</v>
      </c>
    </row>
    <row r="116" spans="1:6" ht="15">
      <c r="A116" s="344">
        <v>13.4</v>
      </c>
      <c r="B116" s="345" t="s">
        <v>806</v>
      </c>
      <c r="C116" s="323"/>
      <c r="D116" s="323"/>
      <c r="E116" s="21">
        <v>0</v>
      </c>
      <c r="F116" s="33"/>
    </row>
    <row r="117" spans="1:6" ht="15">
      <c r="A117" s="344">
        <v>13.5</v>
      </c>
      <c r="B117" s="345" t="s">
        <v>807</v>
      </c>
      <c r="C117" s="346" t="s">
        <v>713</v>
      </c>
      <c r="D117" s="346">
        <f>65.4*24</f>
        <v>1569.6000000000001</v>
      </c>
      <c r="E117" s="21">
        <v>4.135241454150842</v>
      </c>
      <c r="F117" s="33">
        <f>D117*E117</f>
        <v>6490.6749864351623</v>
      </c>
    </row>
    <row r="118" spans="1:6" ht="15">
      <c r="A118" s="369">
        <v>14</v>
      </c>
      <c r="B118" s="337" t="s">
        <v>808</v>
      </c>
      <c r="C118" s="323"/>
      <c r="D118" s="323"/>
      <c r="E118" s="21">
        <v>0</v>
      </c>
      <c r="F118" s="33"/>
    </row>
    <row r="119" spans="1:6" ht="30">
      <c r="A119" s="344">
        <v>14.1</v>
      </c>
      <c r="B119" s="345" t="s">
        <v>809</v>
      </c>
      <c r="C119" s="346" t="s">
        <v>713</v>
      </c>
      <c r="D119" s="346">
        <f>34*24</f>
        <v>816</v>
      </c>
      <c r="E119" s="21">
        <v>21.161150298426481</v>
      </c>
      <c r="F119" s="33">
        <f>D119*E119</f>
        <v>17267.49864351601</v>
      </c>
    </row>
    <row r="120" spans="1:6" ht="15">
      <c r="A120" s="344">
        <v>14.2</v>
      </c>
      <c r="B120" s="345" t="s">
        <v>810</v>
      </c>
      <c r="C120" s="323"/>
      <c r="D120" s="323"/>
      <c r="E120" s="21">
        <v>0</v>
      </c>
      <c r="F120" s="33"/>
    </row>
    <row r="121" spans="1:6" ht="15">
      <c r="A121" s="344">
        <v>14.3</v>
      </c>
      <c r="B121" s="345" t="s">
        <v>811</v>
      </c>
      <c r="C121" s="346" t="s">
        <v>246</v>
      </c>
      <c r="D121" s="346">
        <f>2*24</f>
        <v>48</v>
      </c>
      <c r="E121" s="21">
        <v>74.635729788388502</v>
      </c>
      <c r="F121" s="33">
        <f t="shared" ref="F121:F128" si="1">D121*E121</f>
        <v>3582.5150298426479</v>
      </c>
    </row>
    <row r="122" spans="1:6" ht="15">
      <c r="A122" s="344">
        <v>14.4</v>
      </c>
      <c r="B122" s="345" t="s">
        <v>812</v>
      </c>
      <c r="C122" s="346" t="s">
        <v>246</v>
      </c>
      <c r="D122" s="346">
        <f>2*24</f>
        <v>48</v>
      </c>
      <c r="E122" s="21">
        <v>124.78307107976124</v>
      </c>
      <c r="F122" s="33">
        <f t="shared" si="1"/>
        <v>5989.5874118285392</v>
      </c>
    </row>
    <row r="123" spans="1:6" ht="15">
      <c r="A123" s="344">
        <v>14.5</v>
      </c>
      <c r="B123" s="345" t="s">
        <v>813</v>
      </c>
      <c r="C123" s="323"/>
      <c r="D123" s="323"/>
      <c r="E123" s="21">
        <v>0</v>
      </c>
      <c r="F123" s="33">
        <f t="shared" si="1"/>
        <v>0</v>
      </c>
    </row>
    <row r="124" spans="1:6" ht="15">
      <c r="A124" s="344">
        <v>14.6</v>
      </c>
      <c r="B124" s="345" t="s">
        <v>814</v>
      </c>
      <c r="C124" s="346" t="s">
        <v>502</v>
      </c>
      <c r="D124" s="346">
        <v>24</v>
      </c>
      <c r="E124" s="21">
        <v>775.90884427563765</v>
      </c>
      <c r="F124" s="33">
        <f t="shared" si="1"/>
        <v>18621.812262615305</v>
      </c>
    </row>
    <row r="125" spans="1:6" ht="15">
      <c r="A125" s="344">
        <v>14.7</v>
      </c>
      <c r="B125" s="346" t="s">
        <v>815</v>
      </c>
      <c r="C125" s="346" t="s">
        <v>713</v>
      </c>
      <c r="D125" s="346">
        <f>8.1*24</f>
        <v>194.39999999999998</v>
      </c>
      <c r="E125" s="21">
        <v>6.7401790558871415</v>
      </c>
      <c r="F125" s="33">
        <f t="shared" si="1"/>
        <v>1310.29080846446</v>
      </c>
    </row>
    <row r="126" spans="1:6" ht="30">
      <c r="A126" s="344">
        <v>14.8</v>
      </c>
      <c r="B126" s="345" t="s">
        <v>816</v>
      </c>
      <c r="C126" s="346" t="s">
        <v>713</v>
      </c>
      <c r="D126" s="346">
        <f>14.54*24</f>
        <v>348.96</v>
      </c>
      <c r="E126" s="21">
        <v>17.111611502984267</v>
      </c>
      <c r="F126" s="33">
        <f t="shared" si="1"/>
        <v>5971.2679500813892</v>
      </c>
    </row>
    <row r="127" spans="1:6" ht="15">
      <c r="A127" s="344">
        <v>14.9</v>
      </c>
      <c r="B127" s="345" t="s">
        <v>817</v>
      </c>
      <c r="C127" s="346" t="s">
        <v>818</v>
      </c>
      <c r="D127" s="346">
        <v>48</v>
      </c>
      <c r="E127" s="21">
        <v>361.50298426478565</v>
      </c>
      <c r="F127" s="33">
        <f t="shared" si="1"/>
        <v>17352.14324470971</v>
      </c>
    </row>
    <row r="128" spans="1:6" ht="15">
      <c r="A128" s="371">
        <v>14.1</v>
      </c>
      <c r="B128" s="345" t="s">
        <v>819</v>
      </c>
      <c r="C128" s="346" t="s">
        <v>317</v>
      </c>
      <c r="D128" s="346">
        <f>10.6*24</f>
        <v>254.39999999999998</v>
      </c>
      <c r="E128" s="21">
        <v>17.365545306565384</v>
      </c>
      <c r="F128" s="33">
        <f t="shared" si="1"/>
        <v>4417.794725990233</v>
      </c>
    </row>
    <row r="129" spans="1:6" ht="15">
      <c r="A129" s="347"/>
      <c r="B129" s="326" t="s">
        <v>541</v>
      </c>
      <c r="C129" s="327"/>
      <c r="D129" s="327"/>
      <c r="E129" s="328">
        <v>0</v>
      </c>
      <c r="F129" s="420">
        <f>SUM(F80:F128)</f>
        <v>529497.95137276186</v>
      </c>
    </row>
    <row r="130" spans="1:6" ht="15">
      <c r="A130" s="339" t="s">
        <v>820</v>
      </c>
      <c r="B130" s="340"/>
      <c r="C130" s="340"/>
      <c r="D130" s="340"/>
      <c r="E130" s="341">
        <v>0</v>
      </c>
      <c r="F130" s="342"/>
    </row>
    <row r="131" spans="1:6" ht="15">
      <c r="A131" s="369">
        <v>15</v>
      </c>
      <c r="B131" s="330" t="s">
        <v>821</v>
      </c>
      <c r="C131" s="330"/>
      <c r="D131" s="330"/>
      <c r="E131" s="19">
        <v>0</v>
      </c>
      <c r="F131" s="31"/>
    </row>
    <row r="132" spans="1:6" ht="15">
      <c r="A132" s="336"/>
      <c r="B132" s="337" t="s">
        <v>700</v>
      </c>
      <c r="C132" s="337"/>
      <c r="D132" s="330"/>
      <c r="E132" s="18">
        <v>0</v>
      </c>
      <c r="F132" s="30"/>
    </row>
    <row r="133" spans="1:6" ht="45">
      <c r="A133" s="344">
        <v>15.1</v>
      </c>
      <c r="B133" s="345" t="s">
        <v>701</v>
      </c>
      <c r="C133" s="324" t="s">
        <v>702</v>
      </c>
      <c r="D133" s="372">
        <f>6872.52*24</f>
        <v>164940.48000000001</v>
      </c>
      <c r="E133" s="21">
        <v>4.3407487791644055</v>
      </c>
      <c r="F133" s="33">
        <f>D133*E133</f>
        <v>715965.18719479104</v>
      </c>
    </row>
    <row r="134" spans="1:6" ht="60">
      <c r="A134" s="344">
        <v>15.2</v>
      </c>
      <c r="B134" s="345" t="s">
        <v>703</v>
      </c>
      <c r="C134" s="324" t="s">
        <v>505</v>
      </c>
      <c r="D134" s="372">
        <f>2950*24</f>
        <v>70800</v>
      </c>
      <c r="E134" s="21">
        <v>5.6429734129137277</v>
      </c>
      <c r="F134" s="33">
        <f>D134*E134</f>
        <v>399522.5176342919</v>
      </c>
    </row>
    <row r="135" spans="1:6" ht="45">
      <c r="A135" s="344">
        <v>15.3</v>
      </c>
      <c r="B135" s="345" t="s">
        <v>704</v>
      </c>
      <c r="C135" s="324" t="s">
        <v>505</v>
      </c>
      <c r="D135" s="346">
        <f>1320.79*24</f>
        <v>31698.959999999999</v>
      </c>
      <c r="E135" s="21">
        <v>15.19262072707542</v>
      </c>
      <c r="F135" s="33">
        <f>D135*E135</f>
        <v>481590.27672273462</v>
      </c>
    </row>
    <row r="136" spans="1:6" ht="15">
      <c r="A136" s="347"/>
      <c r="B136" s="326" t="s">
        <v>541</v>
      </c>
      <c r="C136" s="327"/>
      <c r="D136" s="327"/>
      <c r="E136" s="328">
        <v>0</v>
      </c>
      <c r="F136" s="76">
        <f>SUM(F133:F135)</f>
        <v>1597077.9815518174</v>
      </c>
    </row>
    <row r="137" spans="1:6" ht="15">
      <c r="A137" s="369" t="s">
        <v>822</v>
      </c>
      <c r="B137" s="330"/>
      <c r="C137" s="330"/>
      <c r="D137" s="330"/>
      <c r="E137" s="22">
        <v>0</v>
      </c>
      <c r="F137" s="34"/>
    </row>
    <row r="138" spans="1:6" ht="15">
      <c r="A138" s="369">
        <v>16</v>
      </c>
      <c r="B138" s="330" t="s">
        <v>823</v>
      </c>
      <c r="C138" s="330"/>
      <c r="D138" s="330"/>
      <c r="E138" s="19">
        <v>0</v>
      </c>
      <c r="F138" s="31"/>
    </row>
    <row r="139" spans="1:6" ht="30">
      <c r="A139" s="344">
        <v>16.100000000000001</v>
      </c>
      <c r="B139" s="345" t="s">
        <v>706</v>
      </c>
      <c r="C139" s="324" t="s">
        <v>505</v>
      </c>
      <c r="D139" s="346">
        <v>26.5</v>
      </c>
      <c r="E139" s="21">
        <v>70.537167661421591</v>
      </c>
      <c r="F139" s="33">
        <f>D139*E139</f>
        <v>1869.2349430276722</v>
      </c>
    </row>
    <row r="140" spans="1:6" ht="15">
      <c r="A140" s="344">
        <v>16.2</v>
      </c>
      <c r="B140" s="345" t="s">
        <v>707</v>
      </c>
      <c r="C140" s="324" t="s">
        <v>505</v>
      </c>
      <c r="D140" s="346">
        <v>203</v>
      </c>
      <c r="E140" s="21">
        <v>1.9397721106890939</v>
      </c>
      <c r="F140" s="33">
        <f>D140*E140</f>
        <v>393.7737384698861</v>
      </c>
    </row>
    <row r="141" spans="1:6" ht="15">
      <c r="A141" s="369">
        <v>17</v>
      </c>
      <c r="B141" s="337" t="s">
        <v>708</v>
      </c>
      <c r="C141" s="323"/>
      <c r="D141" s="346"/>
      <c r="E141" s="21">
        <v>0</v>
      </c>
      <c r="F141" s="32"/>
    </row>
    <row r="142" spans="1:6" ht="30">
      <c r="A142" s="369">
        <v>17.100000000000001</v>
      </c>
      <c r="B142" s="345" t="s">
        <v>709</v>
      </c>
      <c r="C142" s="324" t="s">
        <v>505</v>
      </c>
      <c r="D142" s="346">
        <v>18.5</v>
      </c>
      <c r="E142" s="21">
        <v>3.1364351600651119</v>
      </c>
      <c r="F142" s="33">
        <f>D142*E142</f>
        <v>58.024050461204567</v>
      </c>
    </row>
    <row r="143" spans="1:6" ht="15">
      <c r="A143" s="369">
        <v>18</v>
      </c>
      <c r="B143" s="337" t="s">
        <v>710</v>
      </c>
      <c r="C143" s="323"/>
      <c r="D143" s="323"/>
      <c r="E143" s="21">
        <v>0</v>
      </c>
      <c r="F143" s="32"/>
    </row>
    <row r="144" spans="1:6" ht="30">
      <c r="A144" s="344">
        <v>18.100000000000001</v>
      </c>
      <c r="B144" s="345" t="s">
        <v>711</v>
      </c>
      <c r="C144" s="324" t="s">
        <v>505</v>
      </c>
      <c r="D144" s="346">
        <v>31</v>
      </c>
      <c r="E144" s="21">
        <v>70.537167661421591</v>
      </c>
      <c r="F144" s="33">
        <f>D144*E144</f>
        <v>2186.6521975040691</v>
      </c>
    </row>
    <row r="145" spans="1:6" ht="15">
      <c r="A145" s="344">
        <v>18.2</v>
      </c>
      <c r="B145" s="345" t="s">
        <v>712</v>
      </c>
      <c r="C145" s="324" t="s">
        <v>713</v>
      </c>
      <c r="D145" s="346">
        <v>110</v>
      </c>
      <c r="E145" s="21">
        <v>3.7342376559956594</v>
      </c>
      <c r="F145" s="33">
        <f>D145*E145</f>
        <v>410.76614215952253</v>
      </c>
    </row>
    <row r="146" spans="1:6" ht="15">
      <c r="A146" s="347"/>
      <c r="B146" s="326" t="s">
        <v>541</v>
      </c>
      <c r="C146" s="327"/>
      <c r="D146" s="327"/>
      <c r="E146" s="328">
        <v>0</v>
      </c>
      <c r="F146" s="76">
        <f>SUM(F139:F145)</f>
        <v>4918.451071622354</v>
      </c>
    </row>
    <row r="147" spans="1:6" ht="15">
      <c r="A147" s="348"/>
      <c r="B147" s="323"/>
      <c r="C147" s="323"/>
      <c r="D147" s="323"/>
      <c r="E147" s="20">
        <v>0</v>
      </c>
      <c r="F147" s="32"/>
    </row>
    <row r="148" spans="1:6" ht="15">
      <c r="A148" s="542" t="s">
        <v>824</v>
      </c>
      <c r="B148" s="543"/>
      <c r="C148" s="323"/>
      <c r="D148" s="323"/>
      <c r="E148" s="20">
        <v>0</v>
      </c>
      <c r="F148" s="32"/>
    </row>
    <row r="149" spans="1:6" ht="15">
      <c r="A149" s="544">
        <v>19</v>
      </c>
      <c r="B149" s="334" t="s">
        <v>825</v>
      </c>
      <c r="C149" s="323" t="s">
        <v>826</v>
      </c>
      <c r="D149" s="323" t="s">
        <v>826</v>
      </c>
      <c r="E149" s="22">
        <v>0</v>
      </c>
      <c r="F149" s="34"/>
    </row>
    <row r="150" spans="1:6" ht="15">
      <c r="A150" s="348">
        <v>19.100000000000001</v>
      </c>
      <c r="B150" s="324" t="s">
        <v>827</v>
      </c>
      <c r="C150" s="323" t="s">
        <v>713</v>
      </c>
      <c r="D150" s="323">
        <f>90*24</f>
        <v>2160</v>
      </c>
      <c r="E150" s="21">
        <v>4.3407487791644055</v>
      </c>
      <c r="F150" s="32">
        <f>D150*E150</f>
        <v>9376.017362995115</v>
      </c>
    </row>
    <row r="151" spans="1:6" ht="15">
      <c r="A151" s="348">
        <v>19.2</v>
      </c>
      <c r="B151" s="324" t="s">
        <v>828</v>
      </c>
      <c r="C151" s="323" t="s">
        <v>505</v>
      </c>
      <c r="D151" s="323">
        <f>78*24</f>
        <v>1872</v>
      </c>
      <c r="E151" s="21">
        <v>5.6429734129137277</v>
      </c>
      <c r="F151" s="32">
        <f>D151*E151</f>
        <v>10563.646228974498</v>
      </c>
    </row>
    <row r="152" spans="1:6" ht="15">
      <c r="A152" s="348">
        <v>19.3</v>
      </c>
      <c r="B152" s="324" t="s">
        <v>829</v>
      </c>
      <c r="C152" s="323" t="s">
        <v>505</v>
      </c>
      <c r="D152" s="323">
        <f>23.4*24</f>
        <v>561.59999999999991</v>
      </c>
      <c r="E152" s="20">
        <v>7.0537167661421591</v>
      </c>
      <c r="F152" s="32">
        <f>D152*E152</f>
        <v>3961.367335865436</v>
      </c>
    </row>
    <row r="153" spans="1:6" ht="30">
      <c r="A153" s="348">
        <v>19.399999999999999</v>
      </c>
      <c r="B153" s="324" t="s">
        <v>830</v>
      </c>
      <c r="C153" s="323" t="s">
        <v>505</v>
      </c>
      <c r="D153" s="323">
        <f>26*24</f>
        <v>624</v>
      </c>
      <c r="E153" s="20">
        <v>31.525915785498491</v>
      </c>
      <c r="F153" s="32">
        <f>D153*E153</f>
        <v>19672.171450151058</v>
      </c>
    </row>
    <row r="154" spans="1:6" ht="15">
      <c r="A154" s="348">
        <v>19.5</v>
      </c>
      <c r="B154" s="324" t="s">
        <v>831</v>
      </c>
      <c r="C154" s="323" t="s">
        <v>505</v>
      </c>
      <c r="D154" s="323">
        <f>25*24</f>
        <v>600</v>
      </c>
      <c r="E154" s="20">
        <v>37.960911537009061</v>
      </c>
      <c r="F154" s="32">
        <f>D154*E154</f>
        <v>22776.546922205438</v>
      </c>
    </row>
    <row r="155" spans="1:6" ht="15">
      <c r="A155" s="544">
        <v>20</v>
      </c>
      <c r="B155" s="321" t="s">
        <v>832</v>
      </c>
      <c r="C155" s="323" t="s">
        <v>826</v>
      </c>
      <c r="D155" s="323" t="s">
        <v>826</v>
      </c>
      <c r="E155" s="20">
        <v>0</v>
      </c>
      <c r="F155" s="32"/>
    </row>
    <row r="156" spans="1:6" ht="15">
      <c r="A156" s="544">
        <v>20.100000000000001</v>
      </c>
      <c r="B156" s="324" t="s">
        <v>833</v>
      </c>
      <c r="C156" s="323" t="s">
        <v>505</v>
      </c>
      <c r="D156" s="323">
        <f>11*24</f>
        <v>264</v>
      </c>
      <c r="E156" s="20">
        <v>64.591038047583083</v>
      </c>
      <c r="F156" s="32">
        <f>D156*E156</f>
        <v>17052.034044561933</v>
      </c>
    </row>
    <row r="157" spans="1:6" ht="30">
      <c r="A157" s="348">
        <v>20.2</v>
      </c>
      <c r="B157" s="324" t="s">
        <v>834</v>
      </c>
      <c r="C157" s="323" t="s">
        <v>713</v>
      </c>
      <c r="D157" s="323">
        <f>9*24</f>
        <v>216</v>
      </c>
      <c r="E157" s="20">
        <v>74.586607817220553</v>
      </c>
      <c r="F157" s="32">
        <f>D157*E157</f>
        <v>16110.707288519639</v>
      </c>
    </row>
    <row r="158" spans="1:6" ht="15">
      <c r="A158" s="544">
        <v>21</v>
      </c>
      <c r="B158" s="321" t="s">
        <v>835</v>
      </c>
      <c r="C158" s="323" t="s">
        <v>826</v>
      </c>
      <c r="D158" s="323" t="s">
        <v>826</v>
      </c>
      <c r="E158" s="20">
        <v>0</v>
      </c>
      <c r="F158" s="32"/>
    </row>
    <row r="159" spans="1:6" ht="15">
      <c r="A159" s="348">
        <v>21.1</v>
      </c>
      <c r="B159" s="324" t="s">
        <v>836</v>
      </c>
      <c r="C159" s="323" t="s">
        <v>317</v>
      </c>
      <c r="D159" s="323">
        <f>41*24</f>
        <v>984</v>
      </c>
      <c r="E159" s="20">
        <v>68.782130381419918</v>
      </c>
      <c r="F159" s="32">
        <f>D159*E159</f>
        <v>67681.616295317202</v>
      </c>
    </row>
    <row r="160" spans="1:6" ht="15">
      <c r="A160" s="348">
        <v>21.2</v>
      </c>
      <c r="B160" s="324" t="s">
        <v>837</v>
      </c>
      <c r="C160" s="323" t="s">
        <v>246</v>
      </c>
      <c r="D160" s="323">
        <v>24</v>
      </c>
      <c r="E160" s="20">
        <v>54.892182779456192</v>
      </c>
      <c r="F160" s="32">
        <f>D160*E160</f>
        <v>1317.4123867069486</v>
      </c>
    </row>
    <row r="161" spans="1:6" ht="15">
      <c r="A161" s="348">
        <v>21.3</v>
      </c>
      <c r="B161" s="324" t="s">
        <v>838</v>
      </c>
      <c r="C161" s="323" t="s">
        <v>246</v>
      </c>
      <c r="D161" s="323">
        <v>24</v>
      </c>
      <c r="E161" s="20">
        <v>36.162079871601208</v>
      </c>
      <c r="F161" s="32">
        <f>D161*E161</f>
        <v>867.88991691842898</v>
      </c>
    </row>
    <row r="162" spans="1:6" ht="15">
      <c r="A162" s="348">
        <v>21.4</v>
      </c>
      <c r="B162" s="324" t="s">
        <v>839</v>
      </c>
      <c r="C162" s="323" t="s">
        <v>246</v>
      </c>
      <c r="D162" s="323">
        <v>24</v>
      </c>
      <c r="E162" s="20">
        <v>32.564416540785494</v>
      </c>
      <c r="F162" s="32">
        <f>D162*E162</f>
        <v>781.54599697885192</v>
      </c>
    </row>
    <row r="163" spans="1:6" ht="15">
      <c r="A163" s="348">
        <v>21.5</v>
      </c>
      <c r="B163" s="324" t="s">
        <v>840</v>
      </c>
      <c r="C163" s="323" t="s">
        <v>317</v>
      </c>
      <c r="D163" s="323">
        <f>12*24</f>
        <v>288</v>
      </c>
      <c r="E163" s="20">
        <v>12.703089595921469</v>
      </c>
      <c r="F163" s="32">
        <f>D163*E163</f>
        <v>3658.489803625383</v>
      </c>
    </row>
    <row r="164" spans="1:6" ht="15.6" thickBot="1">
      <c r="A164" s="421"/>
      <c r="B164" s="410" t="s">
        <v>541</v>
      </c>
      <c r="C164" s="411"/>
      <c r="D164" s="411"/>
      <c r="E164" s="412">
        <v>0</v>
      </c>
      <c r="F164" s="422">
        <f>SUM(F149:F163)</f>
        <v>173819.44503281993</v>
      </c>
    </row>
    <row r="165" spans="1:6" ht="16.5" thickBot="1">
      <c r="A165" s="423"/>
      <c r="B165" s="424" t="s">
        <v>841</v>
      </c>
      <c r="C165" s="425"/>
      <c r="D165" s="425"/>
      <c r="E165" s="425"/>
      <c r="F165" s="426">
        <f>F164+F146+F136+F129+F76+F66+F47</f>
        <v>2672442.6598483375</v>
      </c>
    </row>
    <row r="166" spans="1:6" ht="15" thickBot="1"/>
    <row r="167" spans="1:6" ht="16.5" thickBot="1">
      <c r="A167" s="423"/>
      <c r="B167" s="387" t="s">
        <v>247</v>
      </c>
      <c r="C167" s="425"/>
      <c r="D167" s="425"/>
      <c r="E167" s="425"/>
      <c r="F167" s="426">
        <f>F165+F40</f>
        <v>10813196.29376437</v>
      </c>
    </row>
  </sheetData>
  <pageMargins left="0.7" right="0.7" top="0.75" bottom="0.75" header="0.3" footer="0.3"/>
  <drawing r:id="rId1"/>
  <legacyDrawing r:id="rId2"/>
  <oleObjects>
    <mc:AlternateContent xmlns:mc="http://schemas.openxmlformats.org/markup-compatibility/2006">
      <mc:Choice Requires="x14">
        <oleObject progId="Equation.3" shapeId="5121" r:id="rId3">
          <objectPr defaultSize="0" autoPict="0" r:id="rId4">
            <anchor moveWithCells="1" sizeWithCells="1">
              <from>
                <xdr:col>4</xdr:col>
                <xdr:colOff>0</xdr:colOff>
                <xdr:row>31</xdr:row>
                <xdr:rowOff>0</xdr:rowOff>
              </from>
              <to>
                <xdr:col>4</xdr:col>
                <xdr:colOff>0</xdr:colOff>
                <xdr:row>31</xdr:row>
                <xdr:rowOff>0</xdr:rowOff>
              </to>
            </anchor>
          </objectPr>
        </oleObject>
      </mc:Choice>
      <mc:Fallback>
        <oleObject progId="Equation.3" shapeId="5121" r:id="rId3"/>
      </mc:Fallback>
    </mc:AlternateContent>
    <mc:AlternateContent xmlns:mc="http://schemas.openxmlformats.org/markup-compatibility/2006">
      <mc:Choice Requires="x14">
        <oleObject progId="Equation.3" shapeId="5122" r:id="rId5">
          <objectPr defaultSize="0" autoPict="0" r:id="rId4">
            <anchor moveWithCells="1" sizeWithCells="1">
              <from>
                <xdr:col>4</xdr:col>
                <xdr:colOff>0</xdr:colOff>
                <xdr:row>31</xdr:row>
                <xdr:rowOff>0</xdr:rowOff>
              </from>
              <to>
                <xdr:col>4</xdr:col>
                <xdr:colOff>0</xdr:colOff>
                <xdr:row>31</xdr:row>
                <xdr:rowOff>0</xdr:rowOff>
              </to>
            </anchor>
          </objectPr>
        </oleObject>
      </mc:Choice>
      <mc:Fallback>
        <oleObject progId="Equation.3" shapeId="5122" r:id="rId5"/>
      </mc:Fallback>
    </mc:AlternateContent>
    <mc:AlternateContent xmlns:mc="http://schemas.openxmlformats.org/markup-compatibility/2006">
      <mc:Choice Requires="x14">
        <oleObject progId="Equation.3" shapeId="5123" r:id="rId6">
          <objectPr defaultSize="0" autoPict="0" r:id="rId4">
            <anchor moveWithCells="1" sizeWithCells="1">
              <from>
                <xdr:col>4</xdr:col>
                <xdr:colOff>0</xdr:colOff>
                <xdr:row>31</xdr:row>
                <xdr:rowOff>0</xdr:rowOff>
              </from>
              <to>
                <xdr:col>4</xdr:col>
                <xdr:colOff>0</xdr:colOff>
                <xdr:row>31</xdr:row>
                <xdr:rowOff>0</xdr:rowOff>
              </to>
            </anchor>
          </objectPr>
        </oleObject>
      </mc:Choice>
      <mc:Fallback>
        <oleObject progId="Equation.3" shapeId="5123" r:id="rId6"/>
      </mc:Fallback>
    </mc:AlternateContent>
    <mc:AlternateContent xmlns:mc="http://schemas.openxmlformats.org/markup-compatibility/2006">
      <mc:Choice Requires="x14">
        <oleObject progId="Equation.3" shapeId="5124" r:id="rId7">
          <objectPr defaultSize="0" autoPict="0" r:id="rId4">
            <anchor moveWithCells="1" sizeWithCells="1">
              <from>
                <xdr:col>4</xdr:col>
                <xdr:colOff>0</xdr:colOff>
                <xdr:row>31</xdr:row>
                <xdr:rowOff>0</xdr:rowOff>
              </from>
              <to>
                <xdr:col>4</xdr:col>
                <xdr:colOff>0</xdr:colOff>
                <xdr:row>31</xdr:row>
                <xdr:rowOff>0</xdr:rowOff>
              </to>
            </anchor>
          </objectPr>
        </oleObject>
      </mc:Choice>
      <mc:Fallback>
        <oleObject progId="Equation.3" shapeId="5124" r:id="rId7"/>
      </mc:Fallback>
    </mc:AlternateContent>
  </oleObjec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00D2C8-8760-694E-8FB5-7A6796B9C4A2}">
  <dimension ref="A1:E29"/>
  <sheetViews>
    <sheetView zoomScale="130" zoomScaleNormal="130" workbookViewId="0">
      <selection activeCell="D13" sqref="D13"/>
    </sheetView>
  </sheetViews>
  <sheetFormatPr defaultColWidth="10.85546875" defaultRowHeight="14.45"/>
  <cols>
    <col min="1" max="1" width="77.5703125" customWidth="1"/>
    <col min="2" max="2" width="20.140625" bestFit="1" customWidth="1"/>
    <col min="4" max="4" width="14.42578125" bestFit="1" customWidth="1"/>
    <col min="5" max="5" width="15" bestFit="1" customWidth="1"/>
  </cols>
  <sheetData>
    <row r="1" spans="1:5" ht="26.45" thickBot="1">
      <c r="A1" s="612" t="s">
        <v>842</v>
      </c>
      <c r="B1" s="612" t="s">
        <v>19</v>
      </c>
      <c r="C1" s="621" t="s">
        <v>481</v>
      </c>
      <c r="D1" s="613" t="s">
        <v>482</v>
      </c>
      <c r="E1" s="614" t="s">
        <v>483</v>
      </c>
    </row>
    <row r="2" spans="1:5" ht="15" thickBot="1"/>
    <row r="3" spans="1:5" ht="44.1" thickBot="1">
      <c r="A3" s="629" t="s">
        <v>843</v>
      </c>
      <c r="B3" s="630" t="s">
        <v>844</v>
      </c>
      <c r="C3" s="631">
        <v>1</v>
      </c>
      <c r="D3" s="632">
        <v>300000</v>
      </c>
      <c r="E3" s="633">
        <f>C3*D3</f>
        <v>300000</v>
      </c>
    </row>
    <row r="4" spans="1:5" ht="15" thickBot="1">
      <c r="A4" s="638"/>
      <c r="C4" s="636"/>
      <c r="D4" s="637"/>
      <c r="E4" s="637"/>
    </row>
    <row r="5" spans="1:5" ht="15.6" thickBot="1">
      <c r="A5" s="639" t="s">
        <v>247</v>
      </c>
      <c r="B5" s="608"/>
      <c r="C5" s="608"/>
      <c r="D5" s="608"/>
      <c r="E5" s="640">
        <f>E3</f>
        <v>300000</v>
      </c>
    </row>
    <row r="6" spans="1:5" ht="15">
      <c r="A6" s="641"/>
      <c r="B6" s="642"/>
      <c r="C6" s="642"/>
      <c r="D6" s="642"/>
      <c r="E6" s="643"/>
    </row>
    <row r="7" spans="1:5">
      <c r="A7" t="s">
        <v>845</v>
      </c>
    </row>
    <row r="8" spans="1:5">
      <c r="A8" s="634" t="s">
        <v>846</v>
      </c>
    </row>
    <row r="9" spans="1:5">
      <c r="A9" s="634"/>
    </row>
    <row r="10" spans="1:5">
      <c r="A10" s="635" t="s">
        <v>847</v>
      </c>
    </row>
    <row r="11" spans="1:5">
      <c r="A11" t="s">
        <v>848</v>
      </c>
    </row>
    <row r="13" spans="1:5">
      <c r="A13" s="635" t="s">
        <v>849</v>
      </c>
    </row>
    <row r="14" spans="1:5">
      <c r="A14" t="s">
        <v>850</v>
      </c>
    </row>
    <row r="16" spans="1:5">
      <c r="A16" s="635" t="s">
        <v>851</v>
      </c>
    </row>
    <row r="17" spans="1:1">
      <c r="A17" t="s">
        <v>852</v>
      </c>
    </row>
    <row r="19" spans="1:1">
      <c r="A19" s="635" t="s">
        <v>853</v>
      </c>
    </row>
    <row r="20" spans="1:1">
      <c r="A20" t="s">
        <v>854</v>
      </c>
    </row>
    <row r="22" spans="1:1">
      <c r="A22" s="635" t="s">
        <v>855</v>
      </c>
    </row>
    <row r="23" spans="1:1">
      <c r="A23" t="s">
        <v>856</v>
      </c>
    </row>
    <row r="25" spans="1:1">
      <c r="A25" s="635" t="s">
        <v>857</v>
      </c>
    </row>
    <row r="26" spans="1:1">
      <c r="A26" t="s">
        <v>858</v>
      </c>
    </row>
    <row r="28" spans="1:1">
      <c r="A28" s="635" t="s">
        <v>859</v>
      </c>
    </row>
    <row r="29" spans="1:1">
      <c r="A29" t="s">
        <v>860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DF9560-94BE-4A83-ABF3-1F9C4186FC30}">
  <dimension ref="A1:Q91"/>
  <sheetViews>
    <sheetView zoomScale="65" zoomScaleNormal="87" workbookViewId="0">
      <selection activeCell="L1" sqref="L1"/>
    </sheetView>
  </sheetViews>
  <sheetFormatPr defaultColWidth="9" defaultRowHeight="14.45"/>
  <cols>
    <col min="1" max="1" width="20" style="85" customWidth="1"/>
    <col min="2" max="2" width="21.140625" style="77" customWidth="1"/>
    <col min="3" max="3" width="7.42578125" style="77" customWidth="1"/>
    <col min="4" max="4" width="62.42578125" style="85" bestFit="1" customWidth="1"/>
    <col min="5" max="5" width="10.5703125" style="85" customWidth="1"/>
    <col min="6" max="6" width="10.42578125" style="84" bestFit="1" customWidth="1"/>
    <col min="7" max="7" width="13.42578125" style="375" bestFit="1" customWidth="1"/>
    <col min="8" max="8" width="14.42578125" style="375" bestFit="1" customWidth="1"/>
    <col min="9" max="9" width="17.42578125" style="375" customWidth="1"/>
    <col min="10" max="10" width="14.140625" style="375" customWidth="1"/>
    <col min="11" max="11" width="13.85546875" style="77" bestFit="1" customWidth="1"/>
    <col min="12" max="12" width="13" style="77" bestFit="1" customWidth="1"/>
    <col min="13" max="13" width="13.85546875" style="77" bestFit="1" customWidth="1"/>
    <col min="14" max="14" width="17.140625" style="77" customWidth="1"/>
    <col min="15" max="15" width="12.85546875" style="77" bestFit="1" customWidth="1"/>
    <col min="16" max="16" width="9" style="77"/>
    <col min="17" max="17" width="11.42578125" style="77" bestFit="1" customWidth="1"/>
    <col min="18" max="16384" width="9" style="77"/>
  </cols>
  <sheetData>
    <row r="1" spans="1:15" s="136" customFormat="1" ht="24">
      <c r="A1" s="142" t="s">
        <v>16</v>
      </c>
      <c r="B1" s="141" t="s">
        <v>17</v>
      </c>
      <c r="C1" s="141"/>
      <c r="D1" s="140" t="s">
        <v>18</v>
      </c>
      <c r="E1" s="140" t="s">
        <v>19</v>
      </c>
      <c r="F1" s="139" t="s">
        <v>20</v>
      </c>
      <c r="G1" s="138" t="s">
        <v>21</v>
      </c>
      <c r="H1" s="138" t="s">
        <v>22</v>
      </c>
      <c r="I1" s="138" t="s">
        <v>23</v>
      </c>
      <c r="J1" s="138" t="s">
        <v>24</v>
      </c>
      <c r="K1" s="136" t="s">
        <v>25</v>
      </c>
    </row>
    <row r="2" spans="1:15" s="136" customFormat="1">
      <c r="A2" s="670" t="s">
        <v>26</v>
      </c>
      <c r="B2" s="671" t="s">
        <v>27</v>
      </c>
      <c r="C2" s="122">
        <v>1.1000000000000001</v>
      </c>
      <c r="D2" s="124" t="s">
        <v>28</v>
      </c>
      <c r="E2" s="124"/>
      <c r="F2" s="137"/>
      <c r="G2" s="108"/>
      <c r="H2" s="108"/>
      <c r="I2" s="108"/>
      <c r="J2" s="108"/>
    </row>
    <row r="3" spans="1:15">
      <c r="A3" s="670"/>
      <c r="B3" s="671"/>
      <c r="C3" s="122" t="s">
        <v>29</v>
      </c>
      <c r="D3" s="115" t="s">
        <v>30</v>
      </c>
      <c r="E3" s="98" t="s">
        <v>31</v>
      </c>
      <c r="F3" s="134">
        <v>100</v>
      </c>
      <c r="G3" s="98">
        <v>19014.962500000001</v>
      </c>
      <c r="H3" s="98">
        <f>F3*G3</f>
        <v>1901496.2500000002</v>
      </c>
      <c r="I3" s="98">
        <f>H3*0.75</f>
        <v>1426122.1875000002</v>
      </c>
      <c r="J3" s="98">
        <f>H3*0.25</f>
        <v>475374.06250000006</v>
      </c>
      <c r="K3" s="83">
        <f t="shared" ref="K3:K65" si="0">(I3+J3)-H3</f>
        <v>0</v>
      </c>
    </row>
    <row r="4" spans="1:15" ht="26.1">
      <c r="A4" s="670"/>
      <c r="B4" s="671"/>
      <c r="C4" s="122" t="s">
        <v>32</v>
      </c>
      <c r="D4" s="115" t="s">
        <v>33</v>
      </c>
      <c r="E4" s="98" t="s">
        <v>31</v>
      </c>
      <c r="F4" s="134">
        <v>100</v>
      </c>
      <c r="G4" s="98">
        <v>58444.022778749997</v>
      </c>
      <c r="H4" s="98">
        <f>F4*G4</f>
        <v>5844402.2778749997</v>
      </c>
      <c r="I4" s="98">
        <f>H4</f>
        <v>5844402.2778749997</v>
      </c>
      <c r="J4" s="98"/>
      <c r="K4" s="83">
        <f t="shared" si="0"/>
        <v>0</v>
      </c>
      <c r="L4" s="86"/>
    </row>
    <row r="5" spans="1:15" ht="26.1">
      <c r="A5" s="670"/>
      <c r="B5" s="671"/>
      <c r="C5" s="122" t="s">
        <v>34</v>
      </c>
      <c r="D5" s="115" t="s">
        <v>35</v>
      </c>
      <c r="E5" s="97" t="s">
        <v>36</v>
      </c>
      <c r="F5" s="114">
        <v>3</v>
      </c>
      <c r="G5" s="94">
        <v>118989.49</v>
      </c>
      <c r="H5" s="94">
        <f>F5*G5</f>
        <v>356968.47000000003</v>
      </c>
      <c r="I5" s="94">
        <f>H5*0.3553</f>
        <v>126830.89739100001</v>
      </c>
      <c r="J5" s="94">
        <f>H5-I5</f>
        <v>230137.57260900002</v>
      </c>
      <c r="K5" s="83">
        <f t="shared" si="0"/>
        <v>0</v>
      </c>
      <c r="M5" s="86"/>
    </row>
    <row r="6" spans="1:15">
      <c r="A6" s="670"/>
      <c r="B6" s="671"/>
      <c r="C6" s="122"/>
      <c r="D6" s="93" t="s">
        <v>37</v>
      </c>
      <c r="E6" s="93"/>
      <c r="F6" s="121"/>
      <c r="G6" s="120"/>
      <c r="H6" s="120">
        <f>SUM(H3:H5)</f>
        <v>8102866.9978749994</v>
      </c>
      <c r="I6" s="120">
        <f>SUM(I3:I5)</f>
        <v>7397355.3627659995</v>
      </c>
      <c r="J6" s="120">
        <f>SUM(J3:J5)</f>
        <v>705511.63510900014</v>
      </c>
      <c r="K6" s="83">
        <f t="shared" si="0"/>
        <v>0</v>
      </c>
      <c r="M6" s="86"/>
    </row>
    <row r="7" spans="1:15" ht="26.1">
      <c r="A7" s="670"/>
      <c r="B7" s="671"/>
      <c r="C7" s="122">
        <v>1.2</v>
      </c>
      <c r="D7" s="124" t="s">
        <v>38</v>
      </c>
      <c r="E7" s="124"/>
      <c r="F7" s="110"/>
      <c r="G7" s="109"/>
      <c r="H7" s="109"/>
      <c r="I7" s="109"/>
      <c r="J7" s="109"/>
      <c r="K7" s="83">
        <f t="shared" si="0"/>
        <v>0</v>
      </c>
    </row>
    <row r="8" spans="1:15" ht="24.95">
      <c r="A8" s="670"/>
      <c r="B8" s="671"/>
      <c r="C8" s="122" t="s">
        <v>39</v>
      </c>
      <c r="D8" s="97" t="s">
        <v>40</v>
      </c>
      <c r="G8" s="98"/>
      <c r="H8" s="98"/>
      <c r="I8" s="98"/>
      <c r="J8" s="98"/>
      <c r="K8" s="83">
        <f t="shared" si="0"/>
        <v>0</v>
      </c>
      <c r="M8" s="86"/>
      <c r="N8" s="86"/>
      <c r="O8" s="86"/>
    </row>
    <row r="9" spans="1:15" ht="24.95">
      <c r="A9" s="670"/>
      <c r="B9" s="671"/>
      <c r="C9" s="135" t="s">
        <v>41</v>
      </c>
      <c r="D9" s="97" t="s">
        <v>42</v>
      </c>
      <c r="E9" s="97" t="s">
        <v>31</v>
      </c>
      <c r="F9" s="114">
        <v>100</v>
      </c>
      <c r="G9" s="98">
        <v>1800</v>
      </c>
      <c r="H9" s="98">
        <f t="shared" ref="H9:H17" si="1">F9*G9</f>
        <v>180000</v>
      </c>
      <c r="I9" s="98">
        <f>H9*0.5</f>
        <v>90000</v>
      </c>
      <c r="J9" s="98">
        <f>H9*0.5</f>
        <v>90000</v>
      </c>
      <c r="K9" s="83">
        <f t="shared" si="0"/>
        <v>0</v>
      </c>
      <c r="N9" s="86"/>
      <c r="O9" s="86"/>
    </row>
    <row r="10" spans="1:15" ht="50.1">
      <c r="A10" s="670"/>
      <c r="B10" s="671"/>
      <c r="C10" s="135" t="s">
        <v>43</v>
      </c>
      <c r="D10" s="97" t="s">
        <v>44</v>
      </c>
      <c r="E10" s="97" t="s">
        <v>31</v>
      </c>
      <c r="F10" s="114">
        <v>100</v>
      </c>
      <c r="G10" s="98">
        <v>60566.778648076899</v>
      </c>
      <c r="H10" s="98">
        <f t="shared" si="1"/>
        <v>6056677.8648076896</v>
      </c>
      <c r="I10" s="98">
        <f>H10</f>
        <v>6056677.8648076896</v>
      </c>
      <c r="J10" s="98"/>
      <c r="K10" s="83">
        <f t="shared" si="0"/>
        <v>0</v>
      </c>
      <c r="M10" s="86"/>
      <c r="N10" s="86"/>
    </row>
    <row r="11" spans="1:15" ht="24.95">
      <c r="A11" s="670"/>
      <c r="B11" s="671"/>
      <c r="C11" s="135" t="s">
        <v>45</v>
      </c>
      <c r="D11" s="97" t="s">
        <v>46</v>
      </c>
      <c r="E11" s="97" t="s">
        <v>31</v>
      </c>
      <c r="F11" s="114">
        <v>100</v>
      </c>
      <c r="G11" s="98">
        <v>139321.059616516</v>
      </c>
      <c r="H11" s="98">
        <f t="shared" si="1"/>
        <v>13932105.961651599</v>
      </c>
      <c r="I11" s="98">
        <f>H11</f>
        <v>13932105.961651599</v>
      </c>
      <c r="J11" s="98"/>
      <c r="K11" s="83">
        <f t="shared" si="0"/>
        <v>0</v>
      </c>
    </row>
    <row r="12" spans="1:15" ht="24.95">
      <c r="A12" s="670"/>
      <c r="B12" s="671"/>
      <c r="C12" s="135" t="s">
        <v>47</v>
      </c>
      <c r="D12" s="97" t="s">
        <v>48</v>
      </c>
      <c r="E12" s="97" t="s">
        <v>31</v>
      </c>
      <c r="F12" s="114">
        <v>100</v>
      </c>
      <c r="G12" s="98">
        <v>108131.962937644</v>
      </c>
      <c r="H12" s="98">
        <f t="shared" si="1"/>
        <v>10813196.293764399</v>
      </c>
      <c r="I12" s="98">
        <f>H12</f>
        <v>10813196.293764399</v>
      </c>
      <c r="J12" s="98"/>
      <c r="K12" s="83">
        <f t="shared" si="0"/>
        <v>0</v>
      </c>
    </row>
    <row r="13" spans="1:15" ht="24.95">
      <c r="A13" s="670"/>
      <c r="B13" s="671"/>
      <c r="C13" s="135" t="s">
        <v>49</v>
      </c>
      <c r="D13" s="97" t="s">
        <v>50</v>
      </c>
      <c r="E13" s="97" t="s">
        <v>31</v>
      </c>
      <c r="F13" s="114">
        <v>86</v>
      </c>
      <c r="G13" s="98">
        <v>3488.3720930232557</v>
      </c>
      <c r="H13" s="98">
        <f t="shared" si="1"/>
        <v>300000</v>
      </c>
      <c r="I13" s="98">
        <f>H13</f>
        <v>300000</v>
      </c>
      <c r="J13" s="98"/>
      <c r="K13" s="83">
        <f t="shared" si="0"/>
        <v>0</v>
      </c>
    </row>
    <row r="14" spans="1:15">
      <c r="A14" s="670"/>
      <c r="B14" s="671"/>
      <c r="C14" s="135"/>
      <c r="D14" s="97"/>
      <c r="E14" s="98"/>
      <c r="F14" s="134"/>
      <c r="G14" s="98"/>
      <c r="H14" s="98">
        <f t="shared" si="1"/>
        <v>0</v>
      </c>
      <c r="I14" s="98"/>
      <c r="J14" s="98"/>
      <c r="K14" s="83">
        <f t="shared" si="0"/>
        <v>0</v>
      </c>
    </row>
    <row r="15" spans="1:15">
      <c r="A15" s="670"/>
      <c r="B15" s="671"/>
      <c r="C15" s="122" t="s">
        <v>51</v>
      </c>
      <c r="D15" s="97" t="s">
        <v>52</v>
      </c>
      <c r="E15" s="98" t="s">
        <v>31</v>
      </c>
      <c r="F15" s="134">
        <v>100</v>
      </c>
      <c r="G15" s="98">
        <v>1024</v>
      </c>
      <c r="H15" s="98">
        <f t="shared" si="1"/>
        <v>102400</v>
      </c>
      <c r="I15" s="98">
        <f>H15</f>
        <v>102400</v>
      </c>
      <c r="J15" s="98"/>
      <c r="K15" s="83">
        <f t="shared" si="0"/>
        <v>0</v>
      </c>
      <c r="M15" s="86"/>
    </row>
    <row r="16" spans="1:15">
      <c r="A16" s="670"/>
      <c r="B16" s="671"/>
      <c r="C16" s="122" t="s">
        <v>53</v>
      </c>
      <c r="D16" s="97" t="s">
        <v>54</v>
      </c>
      <c r="E16" s="98" t="s">
        <v>31</v>
      </c>
      <c r="F16" s="134">
        <v>100</v>
      </c>
      <c r="G16" s="98">
        <v>1050</v>
      </c>
      <c r="H16" s="98">
        <f t="shared" si="1"/>
        <v>105000</v>
      </c>
      <c r="I16" s="98">
        <f>H16*0.75</f>
        <v>78750</v>
      </c>
      <c r="J16" s="98">
        <f>H16*0.25</f>
        <v>26250</v>
      </c>
      <c r="K16" s="83">
        <f t="shared" si="0"/>
        <v>0</v>
      </c>
      <c r="N16" s="86"/>
    </row>
    <row r="17" spans="1:15">
      <c r="A17" s="670"/>
      <c r="B17" s="672" t="s">
        <v>55</v>
      </c>
      <c r="C17" s="122" t="s">
        <v>56</v>
      </c>
      <c r="D17" s="97" t="s">
        <v>57</v>
      </c>
      <c r="E17" s="98" t="s">
        <v>31</v>
      </c>
      <c r="F17" s="134">
        <v>2</v>
      </c>
      <c r="G17" s="98">
        <v>24989.34</v>
      </c>
      <c r="H17" s="98">
        <f t="shared" si="1"/>
        <v>49978.68</v>
      </c>
      <c r="I17" s="98">
        <f>H17*0.5</f>
        <v>24989.34</v>
      </c>
      <c r="J17" s="98">
        <f>H17*0.5</f>
        <v>24989.34</v>
      </c>
      <c r="K17" s="83">
        <f t="shared" si="0"/>
        <v>0</v>
      </c>
      <c r="N17" s="86"/>
    </row>
    <row r="18" spans="1:15">
      <c r="A18" s="670"/>
      <c r="B18" s="672"/>
      <c r="C18" s="122"/>
      <c r="D18" s="97"/>
      <c r="E18" s="97"/>
      <c r="F18" s="114"/>
      <c r="G18" s="98"/>
      <c r="H18" s="98"/>
      <c r="I18" s="98"/>
      <c r="J18" s="98"/>
      <c r="K18" s="83">
        <f t="shared" si="0"/>
        <v>0</v>
      </c>
    </row>
    <row r="19" spans="1:15">
      <c r="A19" s="670"/>
      <c r="B19" s="672"/>
      <c r="C19" s="122"/>
      <c r="D19" s="93" t="s">
        <v>37</v>
      </c>
      <c r="E19" s="93"/>
      <c r="F19" s="121"/>
      <c r="G19" s="120"/>
      <c r="H19" s="120">
        <f>SUM(H8:H18)</f>
        <v>31539358.800223686</v>
      </c>
      <c r="I19" s="120">
        <f>SUM(I8:I18)</f>
        <v>31398119.460223686</v>
      </c>
      <c r="J19" s="120">
        <f>SUM(J8:J18)</f>
        <v>141239.34</v>
      </c>
      <c r="K19" s="83">
        <f t="shared" si="0"/>
        <v>0</v>
      </c>
      <c r="L19" s="86"/>
    </row>
    <row r="20" spans="1:15">
      <c r="A20" s="670"/>
      <c r="B20" s="672"/>
      <c r="K20" s="83">
        <f t="shared" si="0"/>
        <v>0</v>
      </c>
    </row>
    <row r="21" spans="1:15" ht="26.1">
      <c r="A21" s="670"/>
      <c r="B21" s="672"/>
      <c r="C21" s="122">
        <v>1.3</v>
      </c>
      <c r="D21" s="124" t="s">
        <v>58</v>
      </c>
      <c r="E21" s="124"/>
      <c r="F21" s="110"/>
      <c r="G21" s="109"/>
      <c r="H21" s="109"/>
      <c r="I21" s="109"/>
      <c r="J21" s="109"/>
      <c r="K21" s="83">
        <f t="shared" si="0"/>
        <v>0</v>
      </c>
    </row>
    <row r="22" spans="1:15">
      <c r="A22" s="670"/>
      <c r="B22" s="672"/>
      <c r="C22" s="122" t="s">
        <v>59</v>
      </c>
      <c r="D22" s="97" t="s">
        <v>60</v>
      </c>
      <c r="E22" s="97" t="s">
        <v>31</v>
      </c>
      <c r="F22" s="114">
        <v>86</v>
      </c>
      <c r="G22" s="94">
        <v>2906.9767441860463</v>
      </c>
      <c r="H22" s="94">
        <f>F22*G22</f>
        <v>249999.99999999997</v>
      </c>
      <c r="I22" s="94">
        <f>H22*1</f>
        <v>249999.99999999997</v>
      </c>
      <c r="J22" s="94"/>
      <c r="K22" s="83">
        <f t="shared" si="0"/>
        <v>0</v>
      </c>
    </row>
    <row r="23" spans="1:15" ht="24.95">
      <c r="A23" s="670"/>
      <c r="B23" s="672"/>
      <c r="C23" s="122" t="s">
        <v>61</v>
      </c>
      <c r="D23" s="97" t="s">
        <v>62</v>
      </c>
      <c r="E23" s="97" t="s">
        <v>31</v>
      </c>
      <c r="F23" s="114">
        <v>1</v>
      </c>
      <c r="G23" s="94">
        <v>50000</v>
      </c>
      <c r="H23" s="94">
        <f>F23*G23</f>
        <v>50000</v>
      </c>
      <c r="I23" s="94">
        <f>H23*0.75</f>
        <v>37500</v>
      </c>
      <c r="J23" s="94">
        <f>H23*0.25</f>
        <v>12500</v>
      </c>
      <c r="K23" s="83">
        <f t="shared" si="0"/>
        <v>0</v>
      </c>
      <c r="L23" s="86"/>
      <c r="M23" s="86"/>
    </row>
    <row r="24" spans="1:15" ht="23.1" customHeight="1">
      <c r="A24" s="670"/>
      <c r="B24" s="672"/>
      <c r="C24" s="122" t="s">
        <v>63</v>
      </c>
      <c r="D24" s="97" t="s">
        <v>64</v>
      </c>
      <c r="E24" s="97" t="s">
        <v>31</v>
      </c>
      <c r="F24" s="114">
        <v>2</v>
      </c>
      <c r="G24" s="94">
        <v>75000</v>
      </c>
      <c r="H24" s="94">
        <f>F24*G24</f>
        <v>150000</v>
      </c>
      <c r="I24" s="94">
        <v>101449.7</v>
      </c>
      <c r="J24" s="94">
        <v>48550.3</v>
      </c>
      <c r="K24" s="83">
        <f t="shared" si="0"/>
        <v>0</v>
      </c>
      <c r="L24" s="644"/>
    </row>
    <row r="25" spans="1:15" ht="24.95">
      <c r="A25" s="670"/>
      <c r="B25" s="672"/>
      <c r="C25" s="122" t="s">
        <v>65</v>
      </c>
      <c r="D25" s="97" t="s">
        <v>66</v>
      </c>
      <c r="E25" s="97" t="s">
        <v>31</v>
      </c>
      <c r="F25" s="114">
        <v>86</v>
      </c>
      <c r="G25" s="94">
        <v>2906.9767441860463</v>
      </c>
      <c r="H25" s="94">
        <f>F25*G25</f>
        <v>249999.99999999997</v>
      </c>
      <c r="I25" s="94">
        <f>H25*1</f>
        <v>249999.99999999997</v>
      </c>
      <c r="J25" s="94"/>
      <c r="K25" s="83">
        <f t="shared" si="0"/>
        <v>0</v>
      </c>
      <c r="M25" s="645"/>
    </row>
    <row r="26" spans="1:15">
      <c r="A26" s="670"/>
      <c r="B26" s="672"/>
      <c r="C26" s="122"/>
      <c r="D26" s="93" t="s">
        <v>37</v>
      </c>
      <c r="E26" s="93"/>
      <c r="F26" s="121"/>
      <c r="G26" s="120"/>
      <c r="H26" s="120">
        <f>SUM(H22:H25)</f>
        <v>700000</v>
      </c>
      <c r="I26" s="120">
        <f>SUM(I22:I25)</f>
        <v>638949.69999999995</v>
      </c>
      <c r="J26" s="120">
        <f>SUM(J22:J25)</f>
        <v>61050.3</v>
      </c>
      <c r="K26" s="83">
        <f t="shared" si="0"/>
        <v>0</v>
      </c>
      <c r="M26" s="83"/>
      <c r="N26" s="83"/>
      <c r="O26" s="83"/>
    </row>
    <row r="27" spans="1:15">
      <c r="A27" s="670"/>
      <c r="B27" s="672"/>
      <c r="K27" s="83">
        <f t="shared" si="0"/>
        <v>0</v>
      </c>
      <c r="M27" s="86"/>
    </row>
    <row r="28" spans="1:15">
      <c r="A28" s="670"/>
      <c r="B28" s="672"/>
      <c r="C28" s="122">
        <v>1.4</v>
      </c>
      <c r="D28" s="124" t="s">
        <v>67</v>
      </c>
      <c r="E28" s="124"/>
      <c r="F28" s="110"/>
      <c r="G28" s="109"/>
      <c r="H28" s="109"/>
      <c r="I28" s="109"/>
      <c r="J28" s="109"/>
      <c r="K28" s="83">
        <f t="shared" si="0"/>
        <v>0</v>
      </c>
    </row>
    <row r="29" spans="1:15">
      <c r="A29" s="670"/>
      <c r="B29" s="672"/>
      <c r="C29" s="122" t="s">
        <v>68</v>
      </c>
      <c r="D29" s="127" t="s">
        <v>69</v>
      </c>
      <c r="E29" s="97" t="s">
        <v>31</v>
      </c>
      <c r="F29" s="114">
        <v>10</v>
      </c>
      <c r="G29" s="94">
        <v>67500</v>
      </c>
      <c r="H29" s="94">
        <f>F29*G29</f>
        <v>675000</v>
      </c>
      <c r="I29" s="94">
        <f>H29*1</f>
        <v>675000</v>
      </c>
      <c r="J29" s="94"/>
      <c r="K29" s="83">
        <f t="shared" si="0"/>
        <v>0</v>
      </c>
      <c r="M29" s="86"/>
    </row>
    <row r="30" spans="1:15">
      <c r="A30" s="670"/>
      <c r="B30" s="672"/>
      <c r="C30" s="122" t="s">
        <v>70</v>
      </c>
      <c r="D30" s="127" t="s">
        <v>71</v>
      </c>
      <c r="E30" s="97" t="s">
        <v>31</v>
      </c>
      <c r="F30" s="114">
        <v>4700</v>
      </c>
      <c r="G30" s="94">
        <v>218.83</v>
      </c>
      <c r="H30" s="94">
        <f>F30*G30</f>
        <v>1028501.0000000001</v>
      </c>
      <c r="I30" s="94">
        <f>H30*1</f>
        <v>1028501.0000000001</v>
      </c>
      <c r="J30" s="94"/>
      <c r="K30" s="83">
        <f t="shared" si="0"/>
        <v>0</v>
      </c>
      <c r="L30" s="131"/>
    </row>
    <row r="31" spans="1:15">
      <c r="A31" s="670"/>
      <c r="B31" s="672"/>
      <c r="C31" s="122" t="s">
        <v>72</v>
      </c>
      <c r="D31" s="649" t="s">
        <v>73</v>
      </c>
      <c r="E31" s="97" t="s">
        <v>31</v>
      </c>
      <c r="F31" s="114">
        <v>10</v>
      </c>
      <c r="G31" s="94">
        <v>13500</v>
      </c>
      <c r="H31" s="94">
        <f>F31*G31</f>
        <v>135000</v>
      </c>
      <c r="I31" s="94">
        <f>H31*1</f>
        <v>135000</v>
      </c>
      <c r="J31" s="94"/>
      <c r="K31" s="83">
        <f t="shared" si="0"/>
        <v>0</v>
      </c>
      <c r="M31" s="86"/>
    </row>
    <row r="32" spans="1:15">
      <c r="A32" s="670"/>
      <c r="B32" s="672"/>
      <c r="C32" s="122" t="s">
        <v>74</v>
      </c>
      <c r="D32" s="127" t="s">
        <v>75</v>
      </c>
      <c r="E32" s="97" t="s">
        <v>31</v>
      </c>
      <c r="F32" s="114">
        <v>10</v>
      </c>
      <c r="G32" s="94">
        <v>110000</v>
      </c>
      <c r="H32" s="94">
        <f>F32*G32</f>
        <v>1100000</v>
      </c>
      <c r="I32" s="94"/>
      <c r="J32" s="94">
        <f>H32*1</f>
        <v>1100000</v>
      </c>
      <c r="K32" s="83">
        <f t="shared" si="0"/>
        <v>0</v>
      </c>
    </row>
    <row r="33" spans="1:15">
      <c r="A33" s="133"/>
      <c r="B33" s="132"/>
      <c r="C33" s="122" t="s">
        <v>76</v>
      </c>
      <c r="D33" s="649" t="s">
        <v>77</v>
      </c>
      <c r="E33" s="97" t="s">
        <v>31</v>
      </c>
      <c r="F33" s="114">
        <v>1</v>
      </c>
      <c r="G33" s="94">
        <v>50000</v>
      </c>
      <c r="H33" s="94">
        <f>F33*G33</f>
        <v>50000</v>
      </c>
      <c r="I33" s="94">
        <f>H33*1</f>
        <v>50000</v>
      </c>
      <c r="J33" s="94"/>
      <c r="K33" s="83">
        <f t="shared" si="0"/>
        <v>0</v>
      </c>
      <c r="L33" s="86"/>
    </row>
    <row r="34" spans="1:15">
      <c r="A34" s="133"/>
      <c r="B34" s="132"/>
      <c r="D34" s="93" t="s">
        <v>37</v>
      </c>
      <c r="E34" s="93"/>
      <c r="F34" s="121"/>
      <c r="G34" s="120"/>
      <c r="H34" s="120">
        <f>SUM(H29:H33)</f>
        <v>2988501</v>
      </c>
      <c r="I34" s="120">
        <f>SUM(I29:I33)</f>
        <v>1888501</v>
      </c>
      <c r="J34" s="120">
        <f>SUM(J29:J33)</f>
        <v>1100000</v>
      </c>
      <c r="K34" s="83">
        <f t="shared" si="0"/>
        <v>0</v>
      </c>
      <c r="L34" s="86"/>
      <c r="M34" s="83"/>
      <c r="N34" s="83"/>
      <c r="O34" s="83"/>
    </row>
    <row r="35" spans="1:15">
      <c r="A35" s="133"/>
      <c r="B35" s="132"/>
      <c r="D35" s="77"/>
      <c r="E35" s="77"/>
      <c r="F35" s="131"/>
      <c r="G35" s="374"/>
      <c r="H35" s="374"/>
      <c r="I35" s="374"/>
      <c r="J35" s="374"/>
      <c r="K35" s="83">
        <f t="shared" si="0"/>
        <v>0</v>
      </c>
    </row>
    <row r="36" spans="1:15" ht="26.1">
      <c r="A36" s="673" t="s">
        <v>78</v>
      </c>
      <c r="B36" s="671" t="s">
        <v>79</v>
      </c>
      <c r="C36" s="122">
        <v>2.1</v>
      </c>
      <c r="D36" s="124" t="s">
        <v>80</v>
      </c>
      <c r="E36" s="124"/>
      <c r="F36" s="110"/>
      <c r="G36" s="109"/>
      <c r="H36" s="109"/>
      <c r="I36" s="109"/>
      <c r="J36" s="109"/>
      <c r="K36" s="83">
        <f t="shared" si="0"/>
        <v>0</v>
      </c>
    </row>
    <row r="37" spans="1:15" ht="43.35" customHeight="1">
      <c r="A37" s="673"/>
      <c r="B37" s="671"/>
      <c r="C37" s="122" t="s">
        <v>81</v>
      </c>
      <c r="D37" s="115" t="s">
        <v>82</v>
      </c>
      <c r="E37" s="97" t="s">
        <v>31</v>
      </c>
      <c r="F37" s="114">
        <v>1</v>
      </c>
      <c r="G37" s="98">
        <v>200000</v>
      </c>
      <c r="H37" s="98">
        <f>F37*G37</f>
        <v>200000</v>
      </c>
      <c r="I37" s="98">
        <f>H37*0.75</f>
        <v>150000</v>
      </c>
      <c r="J37" s="98">
        <f>H37*0.25</f>
        <v>50000</v>
      </c>
      <c r="K37" s="83">
        <f t="shared" si="0"/>
        <v>0</v>
      </c>
    </row>
    <row r="38" spans="1:15" ht="26.1">
      <c r="A38" s="673"/>
      <c r="B38" s="671"/>
      <c r="C38" s="122" t="s">
        <v>83</v>
      </c>
      <c r="D38" s="115" t="s">
        <v>84</v>
      </c>
      <c r="E38" s="97" t="s">
        <v>31</v>
      </c>
      <c r="F38" s="114">
        <v>1</v>
      </c>
      <c r="G38" s="98">
        <v>150000</v>
      </c>
      <c r="H38" s="98">
        <f>F38*G38</f>
        <v>150000</v>
      </c>
      <c r="I38" s="98">
        <f>H38*0.75</f>
        <v>112500</v>
      </c>
      <c r="J38" s="98">
        <f>H38*0.25</f>
        <v>37500</v>
      </c>
      <c r="K38" s="83">
        <f t="shared" si="0"/>
        <v>0</v>
      </c>
    </row>
    <row r="39" spans="1:15" ht="38.450000000000003">
      <c r="A39" s="673"/>
      <c r="B39" s="671"/>
      <c r="C39" s="122" t="s">
        <v>85</v>
      </c>
      <c r="D39" s="115" t="s">
        <v>86</v>
      </c>
      <c r="E39" s="97" t="s">
        <v>31</v>
      </c>
      <c r="F39" s="114">
        <v>1</v>
      </c>
      <c r="G39" s="98">
        <v>50000</v>
      </c>
      <c r="H39" s="98">
        <f>F39*G39</f>
        <v>50000</v>
      </c>
      <c r="I39" s="98">
        <f>H39*0.75</f>
        <v>37500</v>
      </c>
      <c r="J39" s="98">
        <f>H39*0.25</f>
        <v>12500</v>
      </c>
      <c r="K39" s="83">
        <f t="shared" si="0"/>
        <v>0</v>
      </c>
    </row>
    <row r="40" spans="1:15">
      <c r="A40" s="673"/>
      <c r="B40" s="671"/>
      <c r="D40" s="93" t="s">
        <v>37</v>
      </c>
      <c r="E40" s="93"/>
      <c r="F40" s="121"/>
      <c r="G40" s="120"/>
      <c r="H40" s="120">
        <f>SUM(H37:H39)</f>
        <v>400000</v>
      </c>
      <c r="I40" s="120">
        <f>SUM(I37:I39)</f>
        <v>300000</v>
      </c>
      <c r="J40" s="120">
        <f>SUM(J37:J39)</f>
        <v>100000</v>
      </c>
      <c r="K40" s="83">
        <f t="shared" si="0"/>
        <v>0</v>
      </c>
      <c r="L40" s="86"/>
      <c r="M40" s="83"/>
      <c r="N40" s="83"/>
      <c r="O40" s="83"/>
    </row>
    <row r="41" spans="1:15">
      <c r="A41" s="673"/>
      <c r="B41" s="671"/>
      <c r="C41" s="122"/>
      <c r="D41" s="122"/>
      <c r="E41" s="122"/>
      <c r="F41" s="126"/>
      <c r="G41" s="125"/>
      <c r="H41" s="125"/>
      <c r="I41" s="125"/>
      <c r="J41" s="125"/>
      <c r="K41" s="83">
        <f t="shared" si="0"/>
        <v>0</v>
      </c>
    </row>
    <row r="42" spans="1:15">
      <c r="A42" s="673"/>
      <c r="B42" s="671"/>
      <c r="C42" s="122">
        <v>2.2000000000000002</v>
      </c>
      <c r="D42" s="130" t="s">
        <v>87</v>
      </c>
      <c r="E42" s="124"/>
      <c r="F42" s="129"/>
      <c r="G42" s="128"/>
      <c r="H42" s="128"/>
      <c r="I42" s="128"/>
      <c r="J42" s="128"/>
      <c r="K42" s="83">
        <f t="shared" si="0"/>
        <v>0</v>
      </c>
    </row>
    <row r="43" spans="1:15">
      <c r="A43" s="673"/>
      <c r="B43" s="671"/>
      <c r="C43" s="122" t="s">
        <v>88</v>
      </c>
      <c r="D43" s="127" t="s">
        <v>89</v>
      </c>
      <c r="E43" s="97" t="s">
        <v>31</v>
      </c>
      <c r="F43" s="114">
        <v>1</v>
      </c>
      <c r="G43" s="98">
        <v>250000</v>
      </c>
      <c r="H43" s="98">
        <f>F43*G43</f>
        <v>250000</v>
      </c>
      <c r="I43" s="98">
        <f>H43*0.75</f>
        <v>187500</v>
      </c>
      <c r="J43" s="98">
        <f>H43*0.25</f>
        <v>62500</v>
      </c>
      <c r="K43" s="83">
        <f t="shared" si="0"/>
        <v>0</v>
      </c>
    </row>
    <row r="44" spans="1:15" ht="26.1">
      <c r="A44" s="673"/>
      <c r="B44" s="671"/>
      <c r="C44" s="122" t="s">
        <v>90</v>
      </c>
      <c r="D44" s="115" t="s">
        <v>91</v>
      </c>
      <c r="E44" s="97" t="s">
        <v>31</v>
      </c>
      <c r="F44" s="114">
        <v>1</v>
      </c>
      <c r="G44" s="98">
        <v>1010000</v>
      </c>
      <c r="H44" s="98">
        <f>F44*G44</f>
        <v>1010000</v>
      </c>
      <c r="I44" s="98">
        <f>H44*0.75</f>
        <v>757500</v>
      </c>
      <c r="J44" s="98">
        <f>H44*0.25</f>
        <v>252500</v>
      </c>
      <c r="K44" s="83">
        <f t="shared" si="0"/>
        <v>0</v>
      </c>
    </row>
    <row r="45" spans="1:15" ht="43.7" customHeight="1">
      <c r="A45" s="673"/>
      <c r="B45" s="671"/>
      <c r="C45" s="122" t="s">
        <v>92</v>
      </c>
      <c r="D45" s="115" t="s">
        <v>93</v>
      </c>
      <c r="E45" s="97" t="s">
        <v>31</v>
      </c>
      <c r="F45" s="114">
        <v>1</v>
      </c>
      <c r="G45" s="98">
        <v>50000</v>
      </c>
      <c r="H45" s="98">
        <f>F45*G45</f>
        <v>50000</v>
      </c>
      <c r="I45" s="98">
        <f>H45*0.75</f>
        <v>37500</v>
      </c>
      <c r="J45" s="98">
        <f>H45*0.25</f>
        <v>12500</v>
      </c>
      <c r="K45" s="83">
        <f t="shared" si="0"/>
        <v>0</v>
      </c>
      <c r="L45" s="86"/>
      <c r="M45" s="86"/>
    </row>
    <row r="46" spans="1:15">
      <c r="A46" s="673"/>
      <c r="B46" s="671"/>
      <c r="C46" s="122"/>
      <c r="D46" s="93" t="s">
        <v>37</v>
      </c>
      <c r="E46" s="93"/>
      <c r="F46" s="121"/>
      <c r="G46" s="120"/>
      <c r="H46" s="120">
        <f>SUM(H43:H45)</f>
        <v>1310000</v>
      </c>
      <c r="I46" s="120">
        <f>SUM(I43:I45)</f>
        <v>982500</v>
      </c>
      <c r="J46" s="120">
        <f>SUM(J43:J45)</f>
        <v>327500</v>
      </c>
      <c r="K46" s="83">
        <f t="shared" si="0"/>
        <v>0</v>
      </c>
      <c r="M46" s="83"/>
      <c r="N46" s="83"/>
      <c r="O46" s="83"/>
    </row>
    <row r="47" spans="1:15">
      <c r="A47" s="673"/>
      <c r="B47" s="671"/>
      <c r="C47" s="122"/>
      <c r="D47" s="122"/>
      <c r="E47" s="122"/>
      <c r="F47" s="126"/>
      <c r="G47" s="125"/>
      <c r="H47" s="125"/>
      <c r="I47" s="125"/>
      <c r="J47" s="125"/>
      <c r="K47" s="83">
        <f t="shared" si="0"/>
        <v>0</v>
      </c>
    </row>
    <row r="48" spans="1:15" ht="26.1">
      <c r="A48" s="673"/>
      <c r="B48" s="671"/>
      <c r="C48" s="122">
        <v>2.2999999999999998</v>
      </c>
      <c r="D48" s="124" t="s">
        <v>94</v>
      </c>
      <c r="E48" s="124"/>
      <c r="F48" s="110"/>
      <c r="G48" s="109"/>
      <c r="H48" s="109"/>
      <c r="I48" s="109"/>
      <c r="J48" s="109"/>
      <c r="K48" s="83">
        <f t="shared" si="0"/>
        <v>0</v>
      </c>
    </row>
    <row r="49" spans="1:15" ht="26.1">
      <c r="A49" s="673"/>
      <c r="B49" s="671"/>
      <c r="C49" s="122" t="s">
        <v>95</v>
      </c>
      <c r="D49" s="115" t="s">
        <v>96</v>
      </c>
      <c r="E49" s="97" t="s">
        <v>31</v>
      </c>
      <c r="F49" s="114">
        <v>1</v>
      </c>
      <c r="G49" s="98">
        <v>50000</v>
      </c>
      <c r="H49" s="98">
        <f>F49*G49</f>
        <v>50000</v>
      </c>
      <c r="I49" s="98">
        <f>H49*0.75</f>
        <v>37500</v>
      </c>
      <c r="J49" s="98">
        <f>H49*0.25</f>
        <v>12500</v>
      </c>
      <c r="K49" s="83">
        <f t="shared" si="0"/>
        <v>0</v>
      </c>
    </row>
    <row r="50" spans="1:15" ht="26.1">
      <c r="A50" s="673"/>
      <c r="B50" s="671"/>
      <c r="C50" s="122" t="s">
        <v>97</v>
      </c>
      <c r="D50" s="115" t="s">
        <v>98</v>
      </c>
      <c r="E50" s="97" t="s">
        <v>31</v>
      </c>
      <c r="F50" s="114">
        <v>1</v>
      </c>
      <c r="G50" s="98">
        <v>100000</v>
      </c>
      <c r="H50" s="98">
        <f>F50*G50</f>
        <v>100000</v>
      </c>
      <c r="I50" s="98">
        <f>H50*0.75</f>
        <v>75000</v>
      </c>
      <c r="J50" s="98">
        <f>H50*0.25</f>
        <v>25000</v>
      </c>
      <c r="K50" s="83">
        <f t="shared" si="0"/>
        <v>0</v>
      </c>
    </row>
    <row r="51" spans="1:15" ht="26.1">
      <c r="A51" s="673"/>
      <c r="B51" s="671"/>
      <c r="C51" s="122" t="s">
        <v>99</v>
      </c>
      <c r="D51" s="115" t="s">
        <v>100</v>
      </c>
      <c r="E51" s="97" t="s">
        <v>31</v>
      </c>
      <c r="F51" s="114">
        <v>100</v>
      </c>
      <c r="G51" s="98">
        <v>1500</v>
      </c>
      <c r="H51" s="98">
        <f>F51*G51</f>
        <v>150000</v>
      </c>
      <c r="I51" s="98">
        <f>H51*0.5</f>
        <v>75000</v>
      </c>
      <c r="J51" s="98">
        <f>H51*0.5</f>
        <v>75000</v>
      </c>
      <c r="K51" s="83">
        <f t="shared" si="0"/>
        <v>0</v>
      </c>
    </row>
    <row r="52" spans="1:15">
      <c r="A52" s="673"/>
      <c r="B52" s="671"/>
      <c r="C52" s="122" t="s">
        <v>101</v>
      </c>
      <c r="D52" s="115" t="s">
        <v>102</v>
      </c>
      <c r="E52" s="97" t="s">
        <v>31</v>
      </c>
      <c r="F52" s="114">
        <v>30</v>
      </c>
      <c r="G52" s="98">
        <v>5000</v>
      </c>
      <c r="H52" s="98">
        <f>F52*G52</f>
        <v>150000</v>
      </c>
      <c r="I52" s="98">
        <f>H52*0.5</f>
        <v>75000</v>
      </c>
      <c r="J52" s="98">
        <f>H52*0.5</f>
        <v>75000</v>
      </c>
      <c r="K52" s="83">
        <f t="shared" si="0"/>
        <v>0</v>
      </c>
    </row>
    <row r="53" spans="1:15">
      <c r="A53" s="673"/>
      <c r="B53" s="671"/>
      <c r="C53" s="122"/>
      <c r="D53" s="93" t="s">
        <v>37</v>
      </c>
      <c r="E53" s="93"/>
      <c r="F53" s="121"/>
      <c r="G53" s="120"/>
      <c r="H53" s="120">
        <f>SUM(H49:H52)</f>
        <v>450000</v>
      </c>
      <c r="I53" s="120">
        <f>SUM(I49:I52)</f>
        <v>262500</v>
      </c>
      <c r="J53" s="120">
        <f>SUM(J49:J52)</f>
        <v>187500</v>
      </c>
      <c r="K53" s="83">
        <f t="shared" si="0"/>
        <v>0</v>
      </c>
      <c r="M53" s="83"/>
      <c r="N53" s="83"/>
      <c r="O53" s="83"/>
    </row>
    <row r="54" spans="1:15">
      <c r="A54" s="673"/>
      <c r="B54" s="671"/>
      <c r="C54" s="122"/>
      <c r="D54" s="122"/>
      <c r="E54" s="122"/>
      <c r="F54" s="126"/>
      <c r="G54" s="125"/>
      <c r="H54" s="125"/>
      <c r="I54" s="125"/>
      <c r="J54" s="125"/>
      <c r="K54" s="83">
        <f t="shared" si="0"/>
        <v>0</v>
      </c>
    </row>
    <row r="55" spans="1:15">
      <c r="A55" s="673"/>
      <c r="B55" s="671"/>
      <c r="C55" s="122">
        <v>2.4</v>
      </c>
      <c r="D55" s="124" t="s">
        <v>103</v>
      </c>
      <c r="E55" s="124"/>
      <c r="F55" s="110"/>
      <c r="G55" s="109"/>
      <c r="H55" s="109"/>
      <c r="I55" s="109"/>
      <c r="J55" s="109"/>
      <c r="K55" s="83">
        <f t="shared" si="0"/>
        <v>0</v>
      </c>
    </row>
    <row r="56" spans="1:15" ht="26.1">
      <c r="A56" s="673"/>
      <c r="B56" s="671"/>
      <c r="C56" s="122" t="s">
        <v>104</v>
      </c>
      <c r="D56" s="115" t="s">
        <v>105</v>
      </c>
      <c r="E56" s="97" t="s">
        <v>31</v>
      </c>
      <c r="F56" s="114">
        <v>1</v>
      </c>
      <c r="G56" s="98">
        <v>130000</v>
      </c>
      <c r="H56" s="98">
        <f>F56*G56</f>
        <v>130000</v>
      </c>
      <c r="I56" s="98">
        <f>H56*0.75</f>
        <v>97500</v>
      </c>
      <c r="J56" s="98">
        <f>H56*0.25</f>
        <v>32500</v>
      </c>
      <c r="K56" s="83">
        <f t="shared" si="0"/>
        <v>0</v>
      </c>
    </row>
    <row r="57" spans="1:15" ht="24.95">
      <c r="A57" s="673"/>
      <c r="B57" s="671"/>
      <c r="C57" s="122" t="s">
        <v>106</v>
      </c>
      <c r="D57" s="97" t="s">
        <v>107</v>
      </c>
      <c r="E57" s="97" t="s">
        <v>31</v>
      </c>
      <c r="F57" s="114">
        <v>7</v>
      </c>
      <c r="G57" s="98">
        <v>25000</v>
      </c>
      <c r="H57" s="98">
        <f>F57*G57</f>
        <v>175000</v>
      </c>
      <c r="I57" s="98">
        <f>H57*0.5</f>
        <v>87500</v>
      </c>
      <c r="J57" s="98">
        <f>H57*0.5</f>
        <v>87500</v>
      </c>
      <c r="K57" s="83">
        <f t="shared" si="0"/>
        <v>0</v>
      </c>
    </row>
    <row r="58" spans="1:15">
      <c r="A58" s="673"/>
      <c r="B58" s="671"/>
      <c r="C58" s="122"/>
      <c r="D58" s="93" t="s">
        <v>37</v>
      </c>
      <c r="E58" s="93"/>
      <c r="F58" s="121"/>
      <c r="G58" s="120"/>
      <c r="H58" s="120">
        <f>SUM(H56:H57)</f>
        <v>305000</v>
      </c>
      <c r="I58" s="120">
        <f>SUM(I56:I57)</f>
        <v>185000</v>
      </c>
      <c r="J58" s="120">
        <f>SUM(J56:J57)</f>
        <v>120000</v>
      </c>
      <c r="K58" s="83">
        <f t="shared" si="0"/>
        <v>0</v>
      </c>
      <c r="M58" s="83"/>
      <c r="N58" s="83"/>
      <c r="O58" s="83"/>
    </row>
    <row r="59" spans="1:15">
      <c r="A59" s="673"/>
      <c r="B59" s="671"/>
      <c r="C59" s="122"/>
      <c r="D59" s="122"/>
      <c r="E59" s="122"/>
      <c r="F59" s="126"/>
      <c r="G59" s="125"/>
      <c r="H59" s="125"/>
      <c r="I59" s="125"/>
      <c r="J59" s="125"/>
      <c r="K59" s="83">
        <f t="shared" si="0"/>
        <v>0</v>
      </c>
    </row>
    <row r="60" spans="1:15">
      <c r="A60" s="673"/>
      <c r="B60" s="671"/>
      <c r="C60" s="122">
        <v>2.5</v>
      </c>
      <c r="D60" s="124" t="s">
        <v>108</v>
      </c>
      <c r="E60" s="124"/>
      <c r="F60" s="110"/>
      <c r="G60" s="109"/>
      <c r="H60" s="109"/>
      <c r="I60" s="109"/>
      <c r="J60" s="109"/>
      <c r="K60" s="83">
        <f t="shared" si="0"/>
        <v>0</v>
      </c>
    </row>
    <row r="61" spans="1:15" ht="24.95">
      <c r="A61" s="673"/>
      <c r="B61" s="671"/>
      <c r="C61" s="122" t="s">
        <v>109</v>
      </c>
      <c r="D61" s="97" t="s">
        <v>110</v>
      </c>
      <c r="E61" s="97" t="s">
        <v>31</v>
      </c>
      <c r="F61" s="114">
        <v>1</v>
      </c>
      <c r="G61" s="98">
        <v>100000</v>
      </c>
      <c r="H61" s="98">
        <f>F61*G61</f>
        <v>100000</v>
      </c>
      <c r="I61" s="98">
        <f>H61*0.7</f>
        <v>70000</v>
      </c>
      <c r="J61" s="98">
        <f>H61*0.3</f>
        <v>30000</v>
      </c>
      <c r="K61" s="83">
        <f t="shared" si="0"/>
        <v>0</v>
      </c>
    </row>
    <row r="62" spans="1:15">
      <c r="A62" s="673"/>
      <c r="B62" s="671"/>
      <c r="C62" s="122" t="s">
        <v>111</v>
      </c>
      <c r="D62" s="97" t="s">
        <v>112</v>
      </c>
      <c r="E62" s="97" t="s">
        <v>31</v>
      </c>
      <c r="F62" s="114">
        <v>1</v>
      </c>
      <c r="G62" s="98">
        <v>50000</v>
      </c>
      <c r="H62" s="98">
        <f>F62*G62</f>
        <v>50000</v>
      </c>
      <c r="I62" s="98">
        <f>H62*0.7</f>
        <v>35000</v>
      </c>
      <c r="J62" s="98">
        <f>H62*0.3</f>
        <v>15000</v>
      </c>
      <c r="K62" s="83">
        <f t="shared" si="0"/>
        <v>0</v>
      </c>
    </row>
    <row r="63" spans="1:15" ht="24.95">
      <c r="A63" s="673"/>
      <c r="B63" s="671"/>
      <c r="C63" s="122" t="s">
        <v>113</v>
      </c>
      <c r="D63" s="97" t="s">
        <v>114</v>
      </c>
      <c r="E63" s="97" t="s">
        <v>31</v>
      </c>
      <c r="F63" s="114">
        <v>1</v>
      </c>
      <c r="G63" s="98">
        <v>100000</v>
      </c>
      <c r="H63" s="98">
        <f>F63*G63</f>
        <v>100000</v>
      </c>
      <c r="I63" s="98">
        <f>H63*0.7</f>
        <v>70000</v>
      </c>
      <c r="J63" s="98">
        <f>H63*0.3</f>
        <v>30000</v>
      </c>
      <c r="K63" s="83">
        <f t="shared" si="0"/>
        <v>0</v>
      </c>
    </row>
    <row r="64" spans="1:15">
      <c r="A64" s="123"/>
      <c r="B64" s="122"/>
      <c r="C64" s="122"/>
      <c r="D64" s="93" t="s">
        <v>37</v>
      </c>
      <c r="E64" s="93"/>
      <c r="F64" s="121"/>
      <c r="G64" s="120"/>
      <c r="H64" s="120">
        <f>SUM(H61:H63)</f>
        <v>250000</v>
      </c>
      <c r="I64" s="120">
        <f>SUM(I61:I63)</f>
        <v>175000</v>
      </c>
      <c r="J64" s="120">
        <f>SUM(J61:J63)</f>
        <v>75000</v>
      </c>
      <c r="K64" s="83">
        <f t="shared" si="0"/>
        <v>0</v>
      </c>
      <c r="M64" s="83"/>
      <c r="N64" s="83"/>
      <c r="O64" s="83"/>
    </row>
    <row r="65" spans="1:17">
      <c r="A65" s="111"/>
      <c r="D65" s="115"/>
      <c r="E65" s="115"/>
      <c r="F65" s="114"/>
      <c r="G65" s="98"/>
      <c r="H65" s="98"/>
      <c r="I65" s="98"/>
      <c r="J65" s="98"/>
      <c r="K65" s="83">
        <f t="shared" si="0"/>
        <v>0</v>
      </c>
    </row>
    <row r="66" spans="1:17">
      <c r="A66" s="111"/>
      <c r="D66" s="119" t="s">
        <v>115</v>
      </c>
      <c r="E66" s="118"/>
      <c r="F66" s="117"/>
      <c r="G66" s="116"/>
      <c r="H66" s="116">
        <f>H64+H58+H53+H46+H40+H34+H26+H19+H6</f>
        <v>46045726.798098683</v>
      </c>
      <c r="I66" s="116">
        <f>I64+I58+I53+I46+I40+I34+I26+I19+I6</f>
        <v>43227925.522989683</v>
      </c>
      <c r="J66" s="116">
        <f>J64+J58+J53+J46+J40+J34+J26+J19+J6</f>
        <v>2817801.2751090005</v>
      </c>
      <c r="K66" s="83">
        <f t="shared" ref="K66:K82" si="2">(I66+J66)-H66</f>
        <v>0</v>
      </c>
    </row>
    <row r="67" spans="1:17">
      <c r="A67" s="111"/>
      <c r="D67" s="115"/>
      <c r="E67" s="115"/>
      <c r="F67" s="114"/>
      <c r="G67" s="98"/>
      <c r="H67" s="98"/>
      <c r="I67" s="98"/>
      <c r="J67" s="98"/>
      <c r="K67" s="83">
        <f t="shared" si="2"/>
        <v>0</v>
      </c>
    </row>
    <row r="68" spans="1:17">
      <c r="B68" s="103"/>
      <c r="C68" s="103"/>
      <c r="D68" s="102" t="s">
        <v>116</v>
      </c>
      <c r="E68" s="102"/>
      <c r="F68" s="101"/>
      <c r="G68" s="100"/>
      <c r="H68" s="100"/>
      <c r="I68" s="100"/>
      <c r="J68" s="100"/>
      <c r="K68" s="83">
        <f t="shared" si="2"/>
        <v>0</v>
      </c>
    </row>
    <row r="69" spans="1:17">
      <c r="B69" s="103"/>
      <c r="C69" s="103"/>
      <c r="D69" s="97" t="s">
        <v>117</v>
      </c>
      <c r="E69" s="97" t="s">
        <v>36</v>
      </c>
      <c r="F69" s="96">
        <v>7</v>
      </c>
      <c r="G69" s="94">
        <v>89261.55</v>
      </c>
      <c r="H69" s="94">
        <f>'PMU detail breakdown'!G9</f>
        <v>624830</v>
      </c>
      <c r="I69" s="94">
        <f>H69*0.47</f>
        <v>293670.09999999998</v>
      </c>
      <c r="J69" s="94">
        <f>H69*0.53</f>
        <v>331159.90000000002</v>
      </c>
      <c r="K69" s="83">
        <f t="shared" si="2"/>
        <v>0</v>
      </c>
      <c r="O69" s="83"/>
    </row>
    <row r="70" spans="1:17">
      <c r="B70" s="103"/>
      <c r="C70" s="103"/>
      <c r="D70" s="97" t="s">
        <v>118</v>
      </c>
      <c r="E70" s="97" t="s">
        <v>119</v>
      </c>
      <c r="F70" s="96">
        <v>7</v>
      </c>
      <c r="G70" s="94">
        <v>150000</v>
      </c>
      <c r="H70" s="94">
        <f>'PMU detail breakdown'!G12</f>
        <v>1049999.44</v>
      </c>
      <c r="I70" s="94">
        <f>H70*0.47</f>
        <v>493499.73679999996</v>
      </c>
      <c r="J70" s="94">
        <f>H70*0.53</f>
        <v>556499.70319999999</v>
      </c>
      <c r="K70" s="83">
        <f t="shared" si="2"/>
        <v>0</v>
      </c>
      <c r="L70" s="86"/>
    </row>
    <row r="71" spans="1:17">
      <c r="B71" s="103"/>
      <c r="C71" s="103"/>
      <c r="D71" s="97" t="s">
        <v>120</v>
      </c>
      <c r="E71" s="97" t="s">
        <v>36</v>
      </c>
      <c r="F71" s="96">
        <v>7</v>
      </c>
      <c r="G71" s="98">
        <v>35000</v>
      </c>
      <c r="H71" s="98">
        <f>'PMU detail breakdown'!G19</f>
        <v>245000</v>
      </c>
      <c r="I71" s="98">
        <f>H71*0.47</f>
        <v>115150</v>
      </c>
      <c r="J71" s="98">
        <f>H71*0.53</f>
        <v>129850</v>
      </c>
      <c r="K71" s="83">
        <f t="shared" si="2"/>
        <v>0</v>
      </c>
      <c r="L71" s="86"/>
    </row>
    <row r="72" spans="1:17">
      <c r="B72" s="103"/>
      <c r="C72" s="103"/>
      <c r="D72" s="97" t="s">
        <v>121</v>
      </c>
      <c r="E72" s="97" t="s">
        <v>36</v>
      </c>
      <c r="F72" s="96">
        <v>7</v>
      </c>
      <c r="G72" s="98">
        <v>82760.71428571429</v>
      </c>
      <c r="H72" s="98">
        <f>'PMU detail breakdown'!G22</f>
        <v>579327</v>
      </c>
      <c r="I72" s="98">
        <f>H72*0.47</f>
        <v>272283.69</v>
      </c>
      <c r="J72" s="98">
        <f>H72*0.53</f>
        <v>307043.31</v>
      </c>
      <c r="K72" s="83">
        <f t="shared" si="2"/>
        <v>0</v>
      </c>
    </row>
    <row r="73" spans="1:17">
      <c r="B73" s="103"/>
      <c r="C73" s="103"/>
      <c r="D73" s="93" t="s">
        <v>15</v>
      </c>
      <c r="E73" s="93"/>
      <c r="F73" s="92"/>
      <c r="G73" s="91"/>
      <c r="H73" s="91">
        <f>SUM(H69:H72)</f>
        <v>2499156.44</v>
      </c>
      <c r="I73" s="91">
        <f>SUM(I69:I72)</f>
        <v>1174603.5267999999</v>
      </c>
      <c r="J73" s="91">
        <f>SUM(J69:J72)</f>
        <v>1324552.9132000001</v>
      </c>
      <c r="K73" s="83">
        <f t="shared" si="2"/>
        <v>0</v>
      </c>
      <c r="N73" s="86"/>
      <c r="Q73" s="83"/>
    </row>
    <row r="74" spans="1:17">
      <c r="B74" s="103"/>
      <c r="C74" s="103"/>
      <c r="D74" s="103"/>
      <c r="E74" s="103"/>
      <c r="F74" s="113"/>
      <c r="G74" s="112"/>
      <c r="H74" s="112"/>
      <c r="I74" s="112"/>
      <c r="J74" s="112"/>
      <c r="K74" s="83">
        <f t="shared" si="2"/>
        <v>0</v>
      </c>
    </row>
    <row r="75" spans="1:17" s="107" customFormat="1">
      <c r="A75" s="111"/>
      <c r="D75" s="102" t="s">
        <v>122</v>
      </c>
      <c r="E75" s="102" t="s">
        <v>123</v>
      </c>
      <c r="F75" s="110">
        <v>1</v>
      </c>
      <c r="G75" s="109">
        <f>H75/F75</f>
        <v>350000</v>
      </c>
      <c r="H75" s="108">
        <v>350000</v>
      </c>
      <c r="I75" s="108">
        <f>H75*0.5</f>
        <v>175000</v>
      </c>
      <c r="J75" s="108">
        <f>H75*0.5</f>
        <v>175000</v>
      </c>
      <c r="K75" s="83">
        <f t="shared" si="2"/>
        <v>0</v>
      </c>
      <c r="L75" s="77"/>
      <c r="M75" s="77"/>
      <c r="O75" s="77"/>
    </row>
    <row r="76" spans="1:17">
      <c r="B76" s="103"/>
      <c r="C76" s="103"/>
      <c r="D76" s="106"/>
      <c r="E76" s="106"/>
      <c r="F76" s="105"/>
      <c r="G76" s="104"/>
      <c r="H76" s="104"/>
      <c r="I76" s="104"/>
      <c r="J76" s="104"/>
      <c r="K76" s="83">
        <f t="shared" si="2"/>
        <v>0</v>
      </c>
    </row>
    <row r="77" spans="1:17">
      <c r="B77" s="103"/>
      <c r="C77" s="103"/>
      <c r="D77" s="102" t="s">
        <v>124</v>
      </c>
      <c r="E77" s="102"/>
      <c r="F77" s="101"/>
      <c r="G77" s="100"/>
      <c r="H77" s="100"/>
      <c r="I77" s="100"/>
      <c r="J77" s="100"/>
      <c r="K77" s="83">
        <f t="shared" si="2"/>
        <v>0</v>
      </c>
    </row>
    <row r="78" spans="1:17">
      <c r="D78" s="97" t="s">
        <v>125</v>
      </c>
      <c r="E78" s="97" t="s">
        <v>126</v>
      </c>
      <c r="F78" s="96">
        <v>28</v>
      </c>
      <c r="G78" s="98">
        <v>33107</v>
      </c>
      <c r="H78" s="99">
        <f>F78*G78</f>
        <v>926996</v>
      </c>
      <c r="I78" s="98">
        <f>H78*0.45</f>
        <v>417148.2</v>
      </c>
      <c r="J78" s="98">
        <f>H78*0.55</f>
        <v>509847.80000000005</v>
      </c>
      <c r="K78" s="83">
        <f t="shared" si="2"/>
        <v>0</v>
      </c>
    </row>
    <row r="79" spans="1:17">
      <c r="D79" s="97" t="s">
        <v>127</v>
      </c>
      <c r="E79" s="97" t="s">
        <v>31</v>
      </c>
      <c r="F79" s="96">
        <v>1</v>
      </c>
      <c r="G79" s="98">
        <v>78375</v>
      </c>
      <c r="H79" s="99">
        <f>F79*G79</f>
        <v>78375</v>
      </c>
      <c r="I79" s="98">
        <v>0</v>
      </c>
      <c r="J79" s="98">
        <f>H79*1</f>
        <v>78375</v>
      </c>
      <c r="K79" s="83">
        <f t="shared" si="2"/>
        <v>0</v>
      </c>
      <c r="M79" s="86"/>
    </row>
    <row r="80" spans="1:17">
      <c r="D80" s="97" t="s">
        <v>128</v>
      </c>
      <c r="E80" s="97" t="s">
        <v>31</v>
      </c>
      <c r="F80" s="96">
        <v>1</v>
      </c>
      <c r="G80" s="94">
        <v>82521.320000000007</v>
      </c>
      <c r="H80" s="95">
        <f>F80*G80</f>
        <v>82521.320000000007</v>
      </c>
      <c r="I80" s="94">
        <v>0</v>
      </c>
      <c r="J80" s="94">
        <f>H80*1</f>
        <v>82521.320000000007</v>
      </c>
      <c r="K80" s="83">
        <f t="shared" si="2"/>
        <v>0</v>
      </c>
      <c r="M80" s="86"/>
    </row>
    <row r="81" spans="4:17">
      <c r="D81" s="93" t="s">
        <v>15</v>
      </c>
      <c r="E81" s="93"/>
      <c r="F81" s="92"/>
      <c r="G81" s="91"/>
      <c r="H81" s="91">
        <f>SUM(H78:H80)</f>
        <v>1087892.32</v>
      </c>
      <c r="I81" s="91">
        <f>SUM(I78:I80)</f>
        <v>417148.2</v>
      </c>
      <c r="J81" s="91">
        <f>SUM(J78:J80)</f>
        <v>670744.12000000011</v>
      </c>
      <c r="K81" s="83">
        <f t="shared" si="2"/>
        <v>0</v>
      </c>
      <c r="Q81" s="83"/>
    </row>
    <row r="82" spans="4:17">
      <c r="D82" s="90" t="s">
        <v>129</v>
      </c>
      <c r="E82" s="90"/>
      <c r="F82" s="89"/>
      <c r="G82" s="88"/>
      <c r="H82" s="88">
        <f>H81+H75+H73+H66</f>
        <v>49982775.558098681</v>
      </c>
      <c r="I82" s="88">
        <f>I81+I75+I73+I66</f>
        <v>44994677.249789685</v>
      </c>
      <c r="J82" s="88">
        <f>J81+J75+J73+J66</f>
        <v>4988098.3083090009</v>
      </c>
      <c r="K82" s="83">
        <f t="shared" si="2"/>
        <v>0</v>
      </c>
      <c r="M82" s="86"/>
    </row>
    <row r="83" spans="4:17">
      <c r="Q83" s="83"/>
    </row>
    <row r="84" spans="4:17">
      <c r="M84" s="86"/>
    </row>
    <row r="85" spans="4:17">
      <c r="I85" s="376"/>
      <c r="J85" s="376"/>
      <c r="M85" s="86"/>
    </row>
    <row r="86" spans="4:17">
      <c r="K86" s="86"/>
      <c r="M86" s="86"/>
    </row>
    <row r="87" spans="4:17">
      <c r="L87" s="86"/>
    </row>
    <row r="88" spans="4:17">
      <c r="K88" s="86"/>
    </row>
    <row r="89" spans="4:17">
      <c r="E89" s="87"/>
      <c r="K89" s="86"/>
      <c r="L89" s="86"/>
    </row>
    <row r="90" spans="4:17">
      <c r="M90" s="86"/>
    </row>
    <row r="91" spans="4:17">
      <c r="M91" s="86"/>
    </row>
  </sheetData>
  <mergeCells count="5">
    <mergeCell ref="A2:A32"/>
    <mergeCell ref="B2:B16"/>
    <mergeCell ref="B17:B32"/>
    <mergeCell ref="A36:A63"/>
    <mergeCell ref="B36:B6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F5BDD-27AB-48E3-9AC6-1DF22C6460F1}">
  <dimension ref="A3:J25"/>
  <sheetViews>
    <sheetView workbookViewId="0">
      <selection activeCell="J16" sqref="J16"/>
    </sheetView>
  </sheetViews>
  <sheetFormatPr defaultColWidth="8.85546875" defaultRowHeight="14.45"/>
  <cols>
    <col min="1" max="1" width="15.140625" customWidth="1"/>
    <col min="2" max="2" width="45.5703125" customWidth="1"/>
    <col min="4" max="6" width="8.85546875" bestFit="1" customWidth="1"/>
    <col min="7" max="7" width="16.42578125" bestFit="1" customWidth="1"/>
    <col min="8" max="9" width="11.5703125" bestFit="1" customWidth="1"/>
    <col min="10" max="10" width="11.140625" bestFit="1" customWidth="1"/>
  </cols>
  <sheetData>
    <row r="3" spans="1:10" ht="15.95">
      <c r="A3" s="564"/>
      <c r="B3" s="576" t="s">
        <v>130</v>
      </c>
      <c r="C3" s="562"/>
      <c r="D3" s="562"/>
      <c r="E3" s="562"/>
      <c r="F3" s="562"/>
      <c r="G3" s="562"/>
      <c r="H3" s="562"/>
      <c r="I3" s="562"/>
    </row>
    <row r="4" spans="1:10">
      <c r="A4" s="564"/>
      <c r="B4" s="575" t="s">
        <v>131</v>
      </c>
    </row>
    <row r="5" spans="1:10">
      <c r="A5" s="564"/>
      <c r="B5" s="680" t="s">
        <v>132</v>
      </c>
      <c r="C5" s="676" t="s">
        <v>15</v>
      </c>
      <c r="D5" s="677"/>
      <c r="E5" s="677"/>
      <c r="F5" s="677"/>
      <c r="G5" s="677"/>
      <c r="H5" s="676" t="s">
        <v>133</v>
      </c>
      <c r="I5" s="677"/>
    </row>
    <row r="6" spans="1:10" ht="36">
      <c r="A6" s="564"/>
      <c r="B6" s="681"/>
      <c r="C6" s="556" t="s">
        <v>19</v>
      </c>
      <c r="D6" s="557" t="s">
        <v>134</v>
      </c>
      <c r="E6" s="558" t="s">
        <v>135</v>
      </c>
      <c r="F6" s="558" t="s">
        <v>136</v>
      </c>
      <c r="G6" s="559" t="s">
        <v>15</v>
      </c>
      <c r="H6" s="560" t="s">
        <v>137</v>
      </c>
      <c r="I6" s="560" t="s">
        <v>138</v>
      </c>
    </row>
    <row r="7" spans="1:10">
      <c r="A7" s="674" t="s">
        <v>139</v>
      </c>
      <c r="B7" s="577" t="s">
        <v>140</v>
      </c>
      <c r="C7" s="564" t="s">
        <v>31</v>
      </c>
      <c r="D7" s="565">
        <v>12751</v>
      </c>
      <c r="E7" s="564">
        <v>2</v>
      </c>
      <c r="F7" s="564">
        <v>7</v>
      </c>
      <c r="G7" s="566">
        <f>F7*E7*D7</f>
        <v>178514</v>
      </c>
      <c r="H7" s="567">
        <f>G7*0.47</f>
        <v>83901.58</v>
      </c>
      <c r="I7" s="567">
        <f>G7*0.53</f>
        <v>94612.42</v>
      </c>
    </row>
    <row r="8" spans="1:10">
      <c r="A8" s="674"/>
      <c r="B8" s="577" t="s">
        <v>141</v>
      </c>
      <c r="C8" s="564" t="s">
        <v>31</v>
      </c>
      <c r="D8" s="565">
        <v>44631.6</v>
      </c>
      <c r="E8" s="564">
        <v>2</v>
      </c>
      <c r="F8" s="564">
        <v>5</v>
      </c>
      <c r="G8" s="566">
        <f>F8*E8*D8</f>
        <v>446316</v>
      </c>
      <c r="H8" s="567">
        <f>G8*0.47</f>
        <v>209768.52</v>
      </c>
      <c r="I8" s="567">
        <f>G8*0.53</f>
        <v>236547.48</v>
      </c>
      <c r="J8" s="561"/>
    </row>
    <row r="9" spans="1:10">
      <c r="A9" s="564"/>
      <c r="B9" s="568" t="s">
        <v>142</v>
      </c>
      <c r="C9" s="568"/>
      <c r="D9" s="568"/>
      <c r="E9" s="568"/>
      <c r="F9" s="568"/>
      <c r="G9" s="569">
        <f>SUM(G7:G8)</f>
        <v>624830</v>
      </c>
      <c r="H9" s="569">
        <f t="shared" ref="H9:I9" si="0">SUM(H7:H8)</f>
        <v>293670.09999999998</v>
      </c>
      <c r="I9" s="569">
        <f t="shared" si="0"/>
        <v>331159.90000000002</v>
      </c>
    </row>
    <row r="10" spans="1:10">
      <c r="A10" s="674" t="s">
        <v>143</v>
      </c>
      <c r="B10" s="577" t="s">
        <v>144</v>
      </c>
      <c r="C10" s="564" t="s">
        <v>31</v>
      </c>
      <c r="D10" s="565">
        <v>7000</v>
      </c>
      <c r="E10" s="564">
        <v>2</v>
      </c>
      <c r="F10" s="564">
        <v>7</v>
      </c>
      <c r="G10" s="566">
        <f>F10*E10*D10</f>
        <v>98000</v>
      </c>
      <c r="H10" s="567">
        <f>G10*0.47</f>
        <v>46060</v>
      </c>
      <c r="I10" s="567">
        <f>G10*0.53</f>
        <v>51940</v>
      </c>
    </row>
    <row r="11" spans="1:10">
      <c r="A11" s="674"/>
      <c r="B11" s="577" t="s">
        <v>145</v>
      </c>
      <c r="C11" s="564" t="s">
        <v>31</v>
      </c>
      <c r="D11" s="565">
        <v>5913.04</v>
      </c>
      <c r="E11" s="564">
        <v>23</v>
      </c>
      <c r="F11" s="564">
        <v>7</v>
      </c>
      <c r="G11" s="566">
        <f>F11*E11*D11</f>
        <v>951999.44</v>
      </c>
      <c r="H11" s="567">
        <f>G11*0.47</f>
        <v>447439.73679999996</v>
      </c>
      <c r="I11" s="567">
        <f>G11*0.53</f>
        <v>504559.70319999999</v>
      </c>
    </row>
    <row r="12" spans="1:10">
      <c r="A12" s="564"/>
      <c r="B12" s="568" t="s">
        <v>142</v>
      </c>
      <c r="C12" s="568"/>
      <c r="D12" s="568"/>
      <c r="E12" s="568"/>
      <c r="F12" s="568"/>
      <c r="G12" s="569">
        <f>SUM(G10:G11)</f>
        <v>1049999.44</v>
      </c>
      <c r="H12" s="569">
        <f t="shared" ref="H12:I12" si="1">SUM(H10:H11)</f>
        <v>493499.73679999996</v>
      </c>
      <c r="I12" s="569">
        <f t="shared" si="1"/>
        <v>556499.70319999999</v>
      </c>
    </row>
    <row r="13" spans="1:10">
      <c r="A13" s="564"/>
      <c r="B13" s="564"/>
      <c r="C13" s="564"/>
      <c r="D13" s="564"/>
      <c r="E13" s="564"/>
      <c r="F13" s="564"/>
      <c r="G13" s="564"/>
      <c r="H13" s="564"/>
      <c r="I13" s="564"/>
    </row>
    <row r="14" spans="1:10">
      <c r="A14" s="564"/>
      <c r="B14" s="575" t="s">
        <v>146</v>
      </c>
      <c r="C14" s="564"/>
      <c r="D14" s="564"/>
      <c r="E14" s="564"/>
      <c r="F14" s="564"/>
      <c r="G14" s="564"/>
      <c r="H14" s="564"/>
      <c r="I14" s="564"/>
    </row>
    <row r="15" spans="1:10">
      <c r="A15" s="564"/>
      <c r="B15" s="680" t="s">
        <v>132</v>
      </c>
      <c r="C15" s="678" t="s">
        <v>15</v>
      </c>
      <c r="D15" s="679"/>
      <c r="E15" s="679"/>
      <c r="F15" s="679"/>
      <c r="G15" s="679"/>
      <c r="H15" s="678" t="s">
        <v>133</v>
      </c>
      <c r="I15" s="679"/>
    </row>
    <row r="16" spans="1:10" ht="73.5">
      <c r="A16" s="564"/>
      <c r="B16" s="681"/>
      <c r="C16" s="570" t="s">
        <v>19</v>
      </c>
      <c r="D16" s="571" t="s">
        <v>134</v>
      </c>
      <c r="E16" s="572" t="s">
        <v>135</v>
      </c>
      <c r="F16" s="572" t="s">
        <v>136</v>
      </c>
      <c r="G16" s="573" t="s">
        <v>15</v>
      </c>
      <c r="H16" s="574" t="s">
        <v>137</v>
      </c>
      <c r="I16" s="574" t="s">
        <v>138</v>
      </c>
    </row>
    <row r="17" spans="1:9" ht="14.45" customHeight="1">
      <c r="A17" s="675" t="s">
        <v>143</v>
      </c>
      <c r="B17" s="577" t="s">
        <v>147</v>
      </c>
      <c r="C17" s="564" t="s">
        <v>148</v>
      </c>
      <c r="D17" s="565">
        <v>1400</v>
      </c>
      <c r="E17" s="564">
        <v>23</v>
      </c>
      <c r="F17" s="564">
        <v>7</v>
      </c>
      <c r="G17" s="566">
        <f>F17*E17*D17</f>
        <v>225400</v>
      </c>
      <c r="H17" s="567">
        <f>G17*0.47</f>
        <v>105938</v>
      </c>
      <c r="I17" s="567">
        <f>G17*0.53</f>
        <v>119462</v>
      </c>
    </row>
    <row r="18" spans="1:9">
      <c r="A18" s="675"/>
      <c r="B18" s="577" t="s">
        <v>147</v>
      </c>
      <c r="C18" s="564" t="s">
        <v>149</v>
      </c>
      <c r="D18" s="565">
        <v>1400</v>
      </c>
      <c r="E18" s="564">
        <v>2</v>
      </c>
      <c r="F18" s="564">
        <v>7</v>
      </c>
      <c r="G18" s="566">
        <f>F18*E18*D18</f>
        <v>19600</v>
      </c>
      <c r="H18" s="567">
        <f>G18*0.47</f>
        <v>9212</v>
      </c>
      <c r="I18" s="567">
        <f>G18*0.53</f>
        <v>10388</v>
      </c>
    </row>
    <row r="19" spans="1:9">
      <c r="A19" s="675"/>
      <c r="B19" s="568" t="s">
        <v>142</v>
      </c>
      <c r="C19" s="568"/>
      <c r="D19" s="568"/>
      <c r="E19" s="568"/>
      <c r="F19" s="568"/>
      <c r="G19" s="569">
        <f>SUM(G17:G18)</f>
        <v>245000</v>
      </c>
      <c r="H19" s="569">
        <f>SUM(H17:H18)</f>
        <v>115150</v>
      </c>
      <c r="I19" s="569">
        <f>SUM(I17:I18)</f>
        <v>129850</v>
      </c>
    </row>
    <row r="20" spans="1:9">
      <c r="A20" s="675"/>
      <c r="B20" s="577" t="s">
        <v>150</v>
      </c>
      <c r="C20" s="564" t="s">
        <v>151</v>
      </c>
      <c r="D20" s="565">
        <v>3315.5</v>
      </c>
      <c r="E20" s="564">
        <v>2</v>
      </c>
      <c r="F20" s="564">
        <v>7</v>
      </c>
      <c r="G20" s="566">
        <f>D20*E20*F20</f>
        <v>46417</v>
      </c>
      <c r="H20" s="567">
        <f>G20*0.47</f>
        <v>21815.989999999998</v>
      </c>
      <c r="I20" s="567">
        <f>G20*0.53</f>
        <v>24601.010000000002</v>
      </c>
    </row>
    <row r="21" spans="1:9">
      <c r="A21" s="675"/>
      <c r="B21" s="577" t="s">
        <v>152</v>
      </c>
      <c r="C21" s="564" t="s">
        <v>148</v>
      </c>
      <c r="D21" s="565">
        <v>3310</v>
      </c>
      <c r="E21" s="564">
        <v>23</v>
      </c>
      <c r="F21" s="564">
        <v>7</v>
      </c>
      <c r="G21" s="566">
        <f>D21*E21*F21</f>
        <v>532910</v>
      </c>
      <c r="H21" s="567">
        <f>G21*0.47</f>
        <v>250467.69999999998</v>
      </c>
      <c r="I21" s="567">
        <f>G21*0.53</f>
        <v>282442.3</v>
      </c>
    </row>
    <row r="22" spans="1:9">
      <c r="A22" s="564"/>
      <c r="B22" s="568" t="s">
        <v>142</v>
      </c>
      <c r="C22" s="568"/>
      <c r="D22" s="568"/>
      <c r="E22" s="568"/>
      <c r="F22" s="568"/>
      <c r="G22" s="569">
        <f>SUM(G20:G21)</f>
        <v>579327</v>
      </c>
      <c r="H22" s="569">
        <f t="shared" ref="H22:I22" si="2">SUM(H20:H21)</f>
        <v>272283.69</v>
      </c>
      <c r="I22" s="569">
        <f t="shared" si="2"/>
        <v>307043.31</v>
      </c>
    </row>
    <row r="23" spans="1:9">
      <c r="A23" s="564"/>
      <c r="B23" s="578" t="s">
        <v>153</v>
      </c>
      <c r="C23" s="579"/>
      <c r="D23" s="579"/>
      <c r="E23" s="579"/>
      <c r="F23" s="579"/>
      <c r="G23" s="580">
        <f>G9+G12+G19+G22</f>
        <v>2499156.44</v>
      </c>
      <c r="H23" s="580">
        <f t="shared" ref="H23:I23" si="3">H9+H12+H19+H22</f>
        <v>1174603.5267999999</v>
      </c>
      <c r="I23" s="580">
        <f t="shared" si="3"/>
        <v>1324552.9132000001</v>
      </c>
    </row>
    <row r="25" spans="1:9">
      <c r="G25" s="563"/>
    </row>
  </sheetData>
  <mergeCells count="9">
    <mergeCell ref="A7:A8"/>
    <mergeCell ref="A10:A11"/>
    <mergeCell ref="A17:A21"/>
    <mergeCell ref="H5:I5"/>
    <mergeCell ref="H15:I15"/>
    <mergeCell ref="B5:B6"/>
    <mergeCell ref="C5:G5"/>
    <mergeCell ref="B15:B16"/>
    <mergeCell ref="C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CAE98B-AE0A-494A-B1D0-8491B6E3F488}">
  <dimension ref="A1:R132"/>
  <sheetViews>
    <sheetView topLeftCell="A27" zoomScale="53" zoomScaleNormal="66" workbookViewId="0">
      <selection activeCell="A31" sqref="A31"/>
    </sheetView>
  </sheetViews>
  <sheetFormatPr defaultColWidth="9" defaultRowHeight="14.45"/>
  <cols>
    <col min="1" max="1" width="109.5703125" style="77" customWidth="1"/>
    <col min="2" max="2" width="14.42578125" style="77" customWidth="1"/>
    <col min="3" max="3" width="23.42578125" style="77" customWidth="1"/>
    <col min="4" max="4" width="13.85546875" style="374" hidden="1" customWidth="1"/>
    <col min="5" max="10" width="13.42578125" style="374" hidden="1" customWidth="1"/>
    <col min="11" max="11" width="19.140625" style="77" bestFit="1" customWidth="1"/>
    <col min="12" max="12" width="20" style="77" bestFit="1" customWidth="1"/>
    <col min="13" max="13" width="19.85546875" style="77" bestFit="1" customWidth="1"/>
    <col min="14" max="14" width="19.42578125" style="77" bestFit="1" customWidth="1"/>
    <col min="15" max="15" width="13.5703125" style="77" bestFit="1" customWidth="1"/>
    <col min="16" max="16" width="12.85546875" style="77" bestFit="1" customWidth="1"/>
    <col min="17" max="18" width="11.42578125" style="77" bestFit="1" customWidth="1"/>
    <col min="19" max="16384" width="9" style="77"/>
  </cols>
  <sheetData>
    <row r="1" spans="1:18" ht="34.5" thickBot="1">
      <c r="A1" s="143" t="s">
        <v>154</v>
      </c>
      <c r="B1" s="144" t="s">
        <v>155</v>
      </c>
      <c r="C1" s="145" t="s">
        <v>156</v>
      </c>
      <c r="D1" s="688" t="s">
        <v>157</v>
      </c>
      <c r="E1" s="689"/>
      <c r="F1" s="689"/>
      <c r="G1" s="689"/>
      <c r="H1" s="689"/>
      <c r="I1" s="689"/>
      <c r="J1" s="689"/>
      <c r="K1" s="548" t="s">
        <v>3</v>
      </c>
      <c r="L1" s="548" t="s">
        <v>158</v>
      </c>
      <c r="M1" s="697" t="s">
        <v>159</v>
      </c>
      <c r="N1" s="697" t="s">
        <v>160</v>
      </c>
    </row>
    <row r="2" spans="1:18" ht="17.45" thickBot="1">
      <c r="A2" s="146"/>
      <c r="B2" s="147"/>
      <c r="C2" s="148"/>
      <c r="D2" s="149" t="s">
        <v>161</v>
      </c>
      <c r="E2" s="150" t="s">
        <v>162</v>
      </c>
      <c r="F2" s="149" t="s">
        <v>163</v>
      </c>
      <c r="G2" s="150" t="s">
        <v>164</v>
      </c>
      <c r="H2" s="149" t="s">
        <v>165</v>
      </c>
      <c r="I2" s="150" t="s">
        <v>166</v>
      </c>
      <c r="J2" s="149" t="s">
        <v>167</v>
      </c>
      <c r="K2" s="151"/>
      <c r="L2" s="152"/>
      <c r="M2" s="698"/>
      <c r="N2" s="698"/>
    </row>
    <row r="3" spans="1:18" ht="17.45" thickBot="1">
      <c r="A3" s="690" t="s">
        <v>168</v>
      </c>
      <c r="B3" s="691"/>
      <c r="C3" s="691"/>
      <c r="D3" s="691"/>
      <c r="E3" s="691"/>
      <c r="F3" s="691"/>
      <c r="G3" s="691"/>
      <c r="H3" s="691"/>
      <c r="I3" s="691"/>
      <c r="J3" s="691"/>
      <c r="K3" s="153"/>
      <c r="L3" s="154"/>
      <c r="M3" s="155"/>
    </row>
    <row r="4" spans="1:18" ht="17.45" thickBot="1">
      <c r="A4" s="156" t="s">
        <v>169</v>
      </c>
      <c r="B4" s="157"/>
      <c r="C4" s="158"/>
      <c r="D4" s="159"/>
      <c r="E4" s="159"/>
      <c r="F4" s="159"/>
      <c r="G4" s="159"/>
      <c r="H4" s="159"/>
      <c r="I4" s="159"/>
      <c r="J4" s="159"/>
      <c r="K4" s="160"/>
      <c r="L4" s="161"/>
      <c r="M4" s="581"/>
      <c r="N4" s="595">
        <f>SUM(M5:M13)</f>
        <v>8102866.9979839996</v>
      </c>
      <c r="P4" s="377"/>
      <c r="Q4" s="377"/>
      <c r="R4" s="83"/>
    </row>
    <row r="5" spans="1:18" ht="17.100000000000001">
      <c r="A5" s="692" t="s">
        <v>170</v>
      </c>
      <c r="B5" s="162" t="s">
        <v>3</v>
      </c>
      <c r="C5" s="163" t="s">
        <v>4</v>
      </c>
      <c r="D5" s="164">
        <v>50000</v>
      </c>
      <c r="E5" s="164">
        <v>50000</v>
      </c>
      <c r="F5" s="164"/>
      <c r="G5" s="165"/>
      <c r="H5" s="166"/>
      <c r="I5" s="164"/>
      <c r="J5" s="164"/>
      <c r="K5" s="378">
        <v>175074</v>
      </c>
      <c r="L5" s="379"/>
      <c r="M5" s="582">
        <f>K5+L5</f>
        <v>175074</v>
      </c>
      <c r="N5" s="596"/>
    </row>
    <row r="6" spans="1:18" ht="33.950000000000003">
      <c r="A6" s="686"/>
      <c r="B6" s="168" t="s">
        <v>3</v>
      </c>
      <c r="C6" s="169" t="s">
        <v>171</v>
      </c>
      <c r="D6" s="164">
        <v>15000</v>
      </c>
      <c r="E6" s="164">
        <v>15000</v>
      </c>
      <c r="F6" s="164"/>
      <c r="G6" s="165"/>
      <c r="H6" s="166"/>
      <c r="I6" s="164"/>
      <c r="J6" s="164"/>
      <c r="K6" s="380">
        <v>300300.06</v>
      </c>
      <c r="L6" s="381"/>
      <c r="M6" s="583">
        <f t="shared" ref="M6:M12" si="0">K6+L6</f>
        <v>300300.06</v>
      </c>
      <c r="N6" s="596"/>
      <c r="O6" s="83"/>
    </row>
    <row r="7" spans="1:18" ht="17.100000000000001">
      <c r="A7" s="687"/>
      <c r="B7" s="168" t="s">
        <v>158</v>
      </c>
      <c r="C7" s="172" t="s">
        <v>7</v>
      </c>
      <c r="D7" s="164">
        <f>'[1]Summary of CAPEX'!C3*0.5</f>
        <v>950748.125</v>
      </c>
      <c r="E7" s="164">
        <f>'[1]Summary of CAPEX'!C3*0.5</f>
        <v>950748.125</v>
      </c>
      <c r="F7" s="164"/>
      <c r="G7" s="165"/>
      <c r="H7" s="166"/>
      <c r="I7" s="164"/>
      <c r="J7" s="164"/>
      <c r="K7" s="380"/>
      <c r="L7" s="381">
        <v>1426122.1875</v>
      </c>
      <c r="M7" s="583">
        <f t="shared" si="0"/>
        <v>1426122.1875</v>
      </c>
      <c r="N7" s="597">
        <f>SUM(M5:M7)</f>
        <v>1901496.2475000001</v>
      </c>
    </row>
    <row r="8" spans="1:18" ht="17.100000000000001">
      <c r="A8" s="685" t="s">
        <v>172</v>
      </c>
      <c r="B8" s="168" t="s">
        <v>3</v>
      </c>
      <c r="C8" s="163" t="s">
        <v>4</v>
      </c>
      <c r="D8" s="164">
        <v>35000</v>
      </c>
      <c r="E8" s="164">
        <v>35000</v>
      </c>
      <c r="F8" s="164"/>
      <c r="G8" s="165"/>
      <c r="H8" s="166"/>
      <c r="I8" s="164"/>
      <c r="J8" s="164"/>
      <c r="K8" s="380">
        <v>0</v>
      </c>
      <c r="L8" s="381"/>
      <c r="M8" s="583">
        <f t="shared" si="0"/>
        <v>0</v>
      </c>
      <c r="N8" s="596"/>
    </row>
    <row r="9" spans="1:18" ht="33.950000000000003">
      <c r="A9" s="686"/>
      <c r="B9" s="168" t="s">
        <v>3</v>
      </c>
      <c r="C9" s="169" t="s">
        <v>171</v>
      </c>
      <c r="D9" s="164">
        <v>15000</v>
      </c>
      <c r="E9" s="164">
        <v>15000</v>
      </c>
      <c r="F9" s="164"/>
      <c r="G9" s="165"/>
      <c r="H9" s="166"/>
      <c r="I9" s="164"/>
      <c r="J9" s="164"/>
      <c r="K9" s="380">
        <v>0</v>
      </c>
      <c r="L9" s="381"/>
      <c r="M9" s="583">
        <f t="shared" si="0"/>
        <v>0</v>
      </c>
      <c r="N9" s="596"/>
    </row>
    <row r="10" spans="1:18" ht="17.100000000000001">
      <c r="A10" s="687"/>
      <c r="B10" s="173" t="s">
        <v>158</v>
      </c>
      <c r="C10" s="163" t="s">
        <v>8</v>
      </c>
      <c r="D10" s="164" t="e">
        <f>'[1]Summary of CAPEX'!C1+'[1]Summary of CAPEX'!C2</f>
        <v>#VALUE!</v>
      </c>
      <c r="E10" s="164"/>
      <c r="F10" s="164"/>
      <c r="G10" s="165"/>
      <c r="H10" s="166"/>
      <c r="I10" s="164"/>
      <c r="J10" s="164"/>
      <c r="K10" s="380"/>
      <c r="L10" s="381">
        <v>5844402.2778749987</v>
      </c>
      <c r="M10" s="583">
        <f t="shared" si="0"/>
        <v>5844402.2778749987</v>
      </c>
      <c r="N10" s="598">
        <f>SUM(M8:M10)</f>
        <v>5844402.2778749987</v>
      </c>
    </row>
    <row r="11" spans="1:18" ht="17.100000000000001">
      <c r="A11" s="685" t="s">
        <v>173</v>
      </c>
      <c r="B11" s="168" t="s">
        <v>3</v>
      </c>
      <c r="C11" s="163" t="s">
        <v>4</v>
      </c>
      <c r="D11" s="164">
        <v>35000</v>
      </c>
      <c r="E11" s="164">
        <v>35000</v>
      </c>
      <c r="F11" s="164"/>
      <c r="G11" s="165"/>
      <c r="H11" s="166"/>
      <c r="I11" s="164"/>
      <c r="J11" s="164"/>
      <c r="K11" s="380">
        <v>80548.150413149997</v>
      </c>
      <c r="L11" s="381">
        <v>126830.9</v>
      </c>
      <c r="M11" s="583">
        <f t="shared" si="0"/>
        <v>207379.05041314999</v>
      </c>
      <c r="N11" s="596"/>
      <c r="O11" s="83"/>
      <c r="P11" s="83"/>
    </row>
    <row r="12" spans="1:18" ht="33.950000000000003">
      <c r="A12" s="686"/>
      <c r="B12" s="168" t="s">
        <v>3</v>
      </c>
      <c r="C12" s="169" t="s">
        <v>171</v>
      </c>
      <c r="D12" s="164">
        <v>15000</v>
      </c>
      <c r="E12" s="164">
        <v>15000</v>
      </c>
      <c r="F12" s="164"/>
      <c r="G12" s="165"/>
      <c r="H12" s="166"/>
      <c r="I12" s="164"/>
      <c r="J12" s="164"/>
      <c r="K12" s="380">
        <v>149589.42219585003</v>
      </c>
      <c r="L12" s="381"/>
      <c r="M12" s="583">
        <f t="shared" si="0"/>
        <v>149589.42219585003</v>
      </c>
      <c r="N12" s="596"/>
      <c r="P12" s="136"/>
    </row>
    <row r="13" spans="1:18" ht="17.45" thickBot="1">
      <c r="A13" s="687"/>
      <c r="B13" s="173" t="s">
        <v>158</v>
      </c>
      <c r="C13" s="163" t="s">
        <v>8</v>
      </c>
      <c r="D13" s="164">
        <f>'[1]Summary of CAPEX'!C4+'[1]Summary of CAPEX'!C5</f>
        <v>11901080.14268269</v>
      </c>
      <c r="E13" s="164"/>
      <c r="F13" s="164"/>
      <c r="G13" s="165"/>
      <c r="H13" s="166"/>
      <c r="I13" s="164"/>
      <c r="J13" s="164"/>
      <c r="K13" s="382"/>
      <c r="L13" s="383"/>
      <c r="M13" s="584"/>
      <c r="N13" s="597">
        <f>SUM(M11:M13)</f>
        <v>356968.47260900005</v>
      </c>
    </row>
    <row r="14" spans="1:18" ht="33.950000000000003" customHeight="1" thickBot="1">
      <c r="A14" s="176" t="s">
        <v>174</v>
      </c>
      <c r="B14" s="177"/>
      <c r="C14" s="178"/>
      <c r="D14" s="179"/>
      <c r="E14" s="180"/>
      <c r="F14" s="180"/>
      <c r="G14" s="180"/>
      <c r="H14" s="180"/>
      <c r="I14" s="180"/>
      <c r="J14" s="181"/>
      <c r="K14" s="182"/>
      <c r="L14" s="183"/>
      <c r="M14" s="585">
        <f t="shared" ref="M14:M110" si="1">SUM(D14:J14)</f>
        <v>0</v>
      </c>
      <c r="N14" s="599">
        <f>SUM(M15:M29)</f>
        <v>31539358.800000001</v>
      </c>
    </row>
    <row r="15" spans="1:18" ht="17.100000000000001">
      <c r="A15" s="702" t="s">
        <v>175</v>
      </c>
      <c r="B15" s="162" t="s">
        <v>3</v>
      </c>
      <c r="C15" s="184" t="s">
        <v>10</v>
      </c>
      <c r="D15" s="164"/>
      <c r="E15" s="164"/>
      <c r="F15" s="166">
        <v>75000</v>
      </c>
      <c r="G15" s="165"/>
      <c r="H15" s="166"/>
      <c r="I15" s="164"/>
      <c r="J15" s="164"/>
      <c r="K15" s="378">
        <v>30000</v>
      </c>
      <c r="L15" s="384"/>
      <c r="M15" s="582">
        <f>K15+L15</f>
        <v>30000</v>
      </c>
      <c r="N15" s="596"/>
    </row>
    <row r="16" spans="1:18" ht="33.950000000000003">
      <c r="A16" s="703"/>
      <c r="B16" s="162" t="s">
        <v>3</v>
      </c>
      <c r="C16" s="169" t="s">
        <v>171</v>
      </c>
      <c r="D16" s="164"/>
      <c r="E16" s="164"/>
      <c r="F16" s="166">
        <v>20000</v>
      </c>
      <c r="G16" s="165"/>
      <c r="H16" s="166"/>
      <c r="I16" s="164"/>
      <c r="J16" s="164"/>
      <c r="K16" s="380">
        <v>60000</v>
      </c>
      <c r="L16" s="381"/>
      <c r="M16" s="583">
        <f t="shared" ref="M16:M44" si="2">K16+L16</f>
        <v>60000</v>
      </c>
      <c r="N16" s="596"/>
    </row>
    <row r="17" spans="1:14" ht="17.100000000000001">
      <c r="A17" s="703"/>
      <c r="B17" s="173" t="s">
        <v>158</v>
      </c>
      <c r="C17" s="163" t="s">
        <v>9</v>
      </c>
      <c r="D17" s="164"/>
      <c r="E17" s="164"/>
      <c r="F17" s="166">
        <v>10000</v>
      </c>
      <c r="G17" s="165"/>
      <c r="H17" s="166"/>
      <c r="I17" s="164"/>
      <c r="J17" s="164"/>
      <c r="K17" s="380">
        <v>0</v>
      </c>
      <c r="L17" s="381">
        <v>390000</v>
      </c>
      <c r="M17" s="583">
        <f t="shared" ref="M17" si="3">K17+L17</f>
        <v>390000</v>
      </c>
      <c r="N17" s="597"/>
    </row>
    <row r="18" spans="1:14" ht="17.100000000000001">
      <c r="A18" s="704"/>
      <c r="B18" s="173" t="s">
        <v>158</v>
      </c>
      <c r="C18" s="163" t="s">
        <v>8</v>
      </c>
      <c r="D18" s="164"/>
      <c r="E18" s="164"/>
      <c r="F18" s="166">
        <v>10000</v>
      </c>
      <c r="G18" s="165"/>
      <c r="H18" s="166"/>
      <c r="I18" s="164"/>
      <c r="J18" s="164"/>
      <c r="K18" s="380">
        <v>0</v>
      </c>
      <c r="L18" s="381">
        <v>30801980.120000001</v>
      </c>
      <c r="M18" s="583">
        <f t="shared" si="2"/>
        <v>30801980.120000001</v>
      </c>
      <c r="N18" s="598">
        <f>SUM(M15:M18)</f>
        <v>31281980.120000001</v>
      </c>
    </row>
    <row r="19" spans="1:14" ht="17.100000000000001">
      <c r="A19" s="707" t="s">
        <v>176</v>
      </c>
      <c r="B19" s="162" t="s">
        <v>3</v>
      </c>
      <c r="C19" s="163" t="s">
        <v>4</v>
      </c>
      <c r="D19" s="164"/>
      <c r="E19" s="164"/>
      <c r="F19" s="164"/>
      <c r="G19" s="165">
        <v>20000</v>
      </c>
      <c r="H19" s="166"/>
      <c r="I19" s="164"/>
      <c r="J19" s="164"/>
      <c r="K19" s="380">
        <v>0</v>
      </c>
      <c r="L19" s="381"/>
      <c r="M19" s="583">
        <f t="shared" si="2"/>
        <v>0</v>
      </c>
      <c r="N19" s="600"/>
    </row>
    <row r="20" spans="1:14" ht="33.950000000000003">
      <c r="A20" s="686"/>
      <c r="B20" s="162" t="s">
        <v>3</v>
      </c>
      <c r="C20" s="169" t="s">
        <v>171</v>
      </c>
      <c r="D20" s="164"/>
      <c r="E20" s="164"/>
      <c r="F20" s="164"/>
      <c r="G20" s="165">
        <v>10000</v>
      </c>
      <c r="H20" s="166"/>
      <c r="I20" s="164"/>
      <c r="J20" s="164"/>
      <c r="K20" s="380">
        <v>0</v>
      </c>
      <c r="L20" s="381"/>
      <c r="M20" s="583">
        <f t="shared" si="2"/>
        <v>0</v>
      </c>
      <c r="N20" s="600"/>
    </row>
    <row r="21" spans="1:14" ht="17.100000000000001">
      <c r="A21" s="687"/>
      <c r="B21" s="173" t="s">
        <v>158</v>
      </c>
      <c r="C21" s="163" t="s">
        <v>8</v>
      </c>
      <c r="D21" s="164"/>
      <c r="E21" s="164"/>
      <c r="F21" s="164"/>
      <c r="G21" s="165">
        <v>50000</v>
      </c>
      <c r="H21" s="166"/>
      <c r="I21" s="164"/>
      <c r="J21" s="164"/>
      <c r="K21" s="380">
        <v>0</v>
      </c>
      <c r="L21" s="381">
        <v>102400</v>
      </c>
      <c r="M21" s="583">
        <f t="shared" si="2"/>
        <v>102400</v>
      </c>
      <c r="N21" s="598">
        <f>SUM(M20:M21)</f>
        <v>102400</v>
      </c>
    </row>
    <row r="22" spans="1:14" ht="17.100000000000001">
      <c r="A22" s="685" t="s">
        <v>177</v>
      </c>
      <c r="B22" s="162" t="s">
        <v>3</v>
      </c>
      <c r="C22" s="163" t="s">
        <v>11</v>
      </c>
      <c r="D22" s="164"/>
      <c r="E22" s="164"/>
      <c r="F22" s="164"/>
      <c r="G22" s="165"/>
      <c r="H22" s="166"/>
      <c r="I22" s="164">
        <v>20000</v>
      </c>
      <c r="J22" s="164">
        <v>20000</v>
      </c>
      <c r="K22" s="380">
        <v>26250</v>
      </c>
      <c r="L22" s="381"/>
      <c r="M22" s="583">
        <f t="shared" si="2"/>
        <v>26250</v>
      </c>
      <c r="N22" s="600"/>
    </row>
    <row r="23" spans="1:14" ht="33.950000000000003">
      <c r="A23" s="686"/>
      <c r="B23" s="162" t="s">
        <v>3</v>
      </c>
      <c r="C23" s="169" t="s">
        <v>171</v>
      </c>
      <c r="D23" s="164"/>
      <c r="E23" s="164"/>
      <c r="F23" s="164"/>
      <c r="G23" s="165"/>
      <c r="H23" s="166"/>
      <c r="I23" s="164">
        <v>15000</v>
      </c>
      <c r="J23" s="164">
        <v>15000</v>
      </c>
      <c r="K23" s="380">
        <v>0</v>
      </c>
      <c r="L23" s="381"/>
      <c r="M23" s="583">
        <f t="shared" si="2"/>
        <v>0</v>
      </c>
      <c r="N23" s="600"/>
    </row>
    <row r="24" spans="1:14" ht="17.100000000000001">
      <c r="A24" s="686"/>
      <c r="B24" s="173" t="s">
        <v>158</v>
      </c>
      <c r="C24" s="163" t="s">
        <v>9</v>
      </c>
      <c r="D24" s="164"/>
      <c r="E24" s="164"/>
      <c r="F24" s="164"/>
      <c r="G24" s="165"/>
      <c r="H24" s="166"/>
      <c r="I24" s="164">
        <v>30000</v>
      </c>
      <c r="J24" s="164"/>
      <c r="K24" s="380">
        <v>0</v>
      </c>
      <c r="L24" s="381">
        <v>78750</v>
      </c>
      <c r="M24" s="583">
        <f t="shared" si="2"/>
        <v>78750</v>
      </c>
      <c r="N24" s="600"/>
    </row>
    <row r="25" spans="1:14" ht="33.950000000000003">
      <c r="A25" s="687"/>
      <c r="B25" s="168" t="s">
        <v>3</v>
      </c>
      <c r="C25" s="191" t="s">
        <v>6</v>
      </c>
      <c r="D25" s="164"/>
      <c r="E25" s="164"/>
      <c r="F25" s="164"/>
      <c r="G25" s="165"/>
      <c r="H25" s="166"/>
      <c r="I25" s="164">
        <v>10000</v>
      </c>
      <c r="J25" s="164"/>
      <c r="K25" s="380">
        <v>0</v>
      </c>
      <c r="L25" s="381"/>
      <c r="M25" s="583">
        <f t="shared" si="2"/>
        <v>0</v>
      </c>
      <c r="N25" s="598">
        <f>SUM(M22:M25)</f>
        <v>105000</v>
      </c>
    </row>
    <row r="26" spans="1:14" ht="17.100000000000001">
      <c r="A26" s="685" t="s">
        <v>178</v>
      </c>
      <c r="B26" s="192" t="s">
        <v>3</v>
      </c>
      <c r="C26" s="163" t="s">
        <v>4</v>
      </c>
      <c r="D26" s="164"/>
      <c r="E26" s="164"/>
      <c r="F26" s="164"/>
      <c r="G26" s="165"/>
      <c r="H26" s="166"/>
      <c r="I26" s="164">
        <v>10000</v>
      </c>
      <c r="J26" s="164">
        <v>10000</v>
      </c>
      <c r="K26" s="380"/>
      <c r="L26" s="381"/>
      <c r="M26" s="583">
        <f t="shared" si="2"/>
        <v>0</v>
      </c>
      <c r="N26" s="596"/>
    </row>
    <row r="27" spans="1:14" ht="33.950000000000003">
      <c r="A27" s="686"/>
      <c r="B27" s="162" t="s">
        <v>3</v>
      </c>
      <c r="C27" s="169" t="s">
        <v>171</v>
      </c>
      <c r="D27" s="164"/>
      <c r="E27" s="164"/>
      <c r="F27" s="164"/>
      <c r="G27" s="165"/>
      <c r="H27" s="166"/>
      <c r="I27" s="164">
        <v>20000</v>
      </c>
      <c r="J27" s="164">
        <v>20000</v>
      </c>
      <c r="K27" s="380">
        <v>0</v>
      </c>
      <c r="L27" s="381"/>
      <c r="M27" s="583">
        <f t="shared" si="2"/>
        <v>0</v>
      </c>
      <c r="N27" s="596"/>
    </row>
    <row r="28" spans="1:14" ht="17.100000000000001">
      <c r="A28" s="686"/>
      <c r="B28" s="192" t="s">
        <v>3</v>
      </c>
      <c r="C28" s="163" t="s">
        <v>10</v>
      </c>
      <c r="D28" s="164"/>
      <c r="E28" s="164"/>
      <c r="F28" s="164"/>
      <c r="G28" s="165"/>
      <c r="H28" s="166"/>
      <c r="I28" s="164"/>
      <c r="J28" s="164"/>
      <c r="K28" s="380">
        <v>24989.34</v>
      </c>
      <c r="L28" s="381"/>
      <c r="M28" s="583">
        <f t="shared" si="2"/>
        <v>24989.34</v>
      </c>
      <c r="N28" s="596"/>
    </row>
    <row r="29" spans="1:14" ht="17.45" thickBot="1">
      <c r="A29" s="699"/>
      <c r="B29" s="173" t="s">
        <v>158</v>
      </c>
      <c r="C29" s="163" t="s">
        <v>9</v>
      </c>
      <c r="D29" s="193"/>
      <c r="E29" s="193"/>
      <c r="F29" s="193"/>
      <c r="G29" s="194"/>
      <c r="H29" s="195"/>
      <c r="I29" s="193">
        <v>5000</v>
      </c>
      <c r="J29" s="193">
        <v>5000</v>
      </c>
      <c r="K29" s="382">
        <v>0</v>
      </c>
      <c r="L29" s="383">
        <v>24989.34</v>
      </c>
      <c r="M29" s="584">
        <f t="shared" si="2"/>
        <v>24989.34</v>
      </c>
      <c r="N29" s="597">
        <f>SUM(M26:M29)</f>
        <v>49978.68</v>
      </c>
    </row>
    <row r="30" spans="1:14" ht="17.45" thickBot="1">
      <c r="A30" s="198" t="s">
        <v>179</v>
      </c>
      <c r="B30" s="199"/>
      <c r="C30" s="200"/>
      <c r="D30" s="201"/>
      <c r="E30" s="201"/>
      <c r="F30" s="201"/>
      <c r="G30" s="202"/>
      <c r="H30" s="203"/>
      <c r="I30" s="201"/>
      <c r="J30" s="201"/>
      <c r="K30" s="182"/>
      <c r="L30" s="183"/>
      <c r="M30" s="585">
        <f t="shared" si="1"/>
        <v>0</v>
      </c>
      <c r="N30" s="599">
        <f>SUM(M31:M44)</f>
        <v>700000</v>
      </c>
    </row>
    <row r="31" spans="1:14" ht="17.100000000000001">
      <c r="A31" s="708" t="s">
        <v>180</v>
      </c>
      <c r="B31" s="650" t="s">
        <v>3</v>
      </c>
      <c r="C31" s="651" t="s">
        <v>4</v>
      </c>
      <c r="D31" s="652"/>
      <c r="E31" s="653">
        <v>10000</v>
      </c>
      <c r="F31" s="652"/>
      <c r="G31" s="654"/>
      <c r="H31" s="653"/>
      <c r="I31" s="652"/>
      <c r="J31" s="652"/>
      <c r="K31" s="655"/>
      <c r="L31" s="656"/>
      <c r="M31" s="586">
        <f>K31+L31</f>
        <v>0</v>
      </c>
      <c r="N31" s="596"/>
    </row>
    <row r="32" spans="1:14" ht="33.950000000000003">
      <c r="A32" s="709"/>
      <c r="B32" s="650" t="s">
        <v>3</v>
      </c>
      <c r="C32" s="657" t="s">
        <v>171</v>
      </c>
      <c r="D32" s="652"/>
      <c r="E32" s="653"/>
      <c r="F32" s="652"/>
      <c r="G32" s="654"/>
      <c r="H32" s="653"/>
      <c r="I32" s="652"/>
      <c r="J32" s="652"/>
      <c r="K32" s="658"/>
      <c r="L32" s="659"/>
      <c r="M32" s="587">
        <f t="shared" si="2"/>
        <v>0</v>
      </c>
      <c r="N32" s="596"/>
    </row>
    <row r="33" spans="1:16" ht="17.100000000000001">
      <c r="A33" s="710"/>
      <c r="B33" s="650" t="s">
        <v>158</v>
      </c>
      <c r="C33" s="660" t="s">
        <v>9</v>
      </c>
      <c r="D33" s="652"/>
      <c r="E33" s="653">
        <v>50000</v>
      </c>
      <c r="F33" s="652"/>
      <c r="G33" s="654"/>
      <c r="H33" s="653"/>
      <c r="I33" s="652"/>
      <c r="J33" s="652"/>
      <c r="K33" s="658"/>
      <c r="L33" s="661">
        <v>250000</v>
      </c>
      <c r="M33" s="587">
        <f t="shared" si="2"/>
        <v>250000</v>
      </c>
      <c r="N33" s="597">
        <f>SUM(M31:M33)</f>
        <v>250000</v>
      </c>
    </row>
    <row r="34" spans="1:16" ht="17.100000000000001">
      <c r="A34" s="711" t="s">
        <v>181</v>
      </c>
      <c r="B34" s="650" t="s">
        <v>3</v>
      </c>
      <c r="C34" s="660" t="s">
        <v>10</v>
      </c>
      <c r="D34" s="652"/>
      <c r="E34" s="653">
        <v>10000</v>
      </c>
      <c r="F34" s="652"/>
      <c r="G34" s="654"/>
      <c r="H34" s="653"/>
      <c r="I34" s="652"/>
      <c r="J34" s="652"/>
      <c r="K34" s="658"/>
      <c r="L34" s="661"/>
      <c r="M34" s="587">
        <f t="shared" si="2"/>
        <v>0</v>
      </c>
      <c r="N34" s="596"/>
    </row>
    <row r="35" spans="1:16" ht="33.950000000000003">
      <c r="A35" s="709"/>
      <c r="B35" s="650" t="s">
        <v>3</v>
      </c>
      <c r="C35" s="651" t="s">
        <v>171</v>
      </c>
      <c r="D35" s="652"/>
      <c r="E35" s="653">
        <v>50000</v>
      </c>
      <c r="F35" s="652"/>
      <c r="G35" s="654"/>
      <c r="H35" s="653"/>
      <c r="I35" s="652"/>
      <c r="J35" s="652"/>
      <c r="K35" s="658">
        <v>12500</v>
      </c>
      <c r="L35" s="661"/>
      <c r="M35" s="587">
        <f t="shared" si="2"/>
        <v>12500</v>
      </c>
      <c r="N35" s="596"/>
    </row>
    <row r="36" spans="1:16" ht="17.100000000000001">
      <c r="A36" s="710"/>
      <c r="B36" s="650" t="s">
        <v>158</v>
      </c>
      <c r="C36" s="651" t="s">
        <v>9</v>
      </c>
      <c r="D36" s="652"/>
      <c r="E36" s="653">
        <v>5000</v>
      </c>
      <c r="F36" s="652"/>
      <c r="G36" s="654"/>
      <c r="H36" s="653"/>
      <c r="I36" s="652"/>
      <c r="J36" s="652"/>
      <c r="K36" s="658"/>
      <c r="L36" s="661">
        <v>37500</v>
      </c>
      <c r="M36" s="587">
        <f t="shared" si="2"/>
        <v>37500</v>
      </c>
      <c r="N36" s="597">
        <f>SUM(M34:M36)</f>
        <v>50000</v>
      </c>
    </row>
    <row r="37" spans="1:16" ht="33.950000000000003">
      <c r="A37" s="711" t="s">
        <v>182</v>
      </c>
      <c r="B37" s="650" t="s">
        <v>3</v>
      </c>
      <c r="C37" s="651" t="s">
        <v>171</v>
      </c>
      <c r="D37" s="652"/>
      <c r="E37" s="653">
        <v>10000</v>
      </c>
      <c r="F37" s="652"/>
      <c r="G37" s="654"/>
      <c r="H37" s="653"/>
      <c r="I37" s="652"/>
      <c r="J37" s="652"/>
      <c r="K37" s="658"/>
      <c r="L37" s="661"/>
      <c r="M37" s="587">
        <f t="shared" si="2"/>
        <v>0</v>
      </c>
      <c r="N37" s="596"/>
    </row>
    <row r="38" spans="1:16" ht="17.100000000000001">
      <c r="A38" s="709"/>
      <c r="B38" s="650" t="s">
        <v>3</v>
      </c>
      <c r="C38" s="662" t="s">
        <v>4</v>
      </c>
      <c r="D38" s="652"/>
      <c r="E38" s="653"/>
      <c r="F38" s="652"/>
      <c r="G38" s="654"/>
      <c r="H38" s="653"/>
      <c r="I38" s="652"/>
      <c r="J38" s="652"/>
      <c r="K38" s="658">
        <v>30000</v>
      </c>
      <c r="L38" s="661"/>
      <c r="M38" s="587">
        <f t="shared" si="2"/>
        <v>30000</v>
      </c>
      <c r="N38" s="596"/>
    </row>
    <row r="39" spans="1:16" ht="33.950000000000003">
      <c r="A39" s="709"/>
      <c r="B39" s="650" t="s">
        <v>3</v>
      </c>
      <c r="C39" s="663" t="s">
        <v>6</v>
      </c>
      <c r="D39" s="652"/>
      <c r="E39" s="653">
        <v>5000</v>
      </c>
      <c r="F39" s="652"/>
      <c r="G39" s="654"/>
      <c r="H39" s="653"/>
      <c r="I39" s="652"/>
      <c r="J39" s="652"/>
      <c r="K39" s="658">
        <v>18550.3</v>
      </c>
      <c r="L39" s="661"/>
      <c r="M39" s="587">
        <f t="shared" si="2"/>
        <v>18550.3</v>
      </c>
      <c r="N39" s="596"/>
    </row>
    <row r="40" spans="1:16" ht="17.100000000000001">
      <c r="A40" s="710"/>
      <c r="B40" s="650" t="s">
        <v>158</v>
      </c>
      <c r="C40" s="663" t="s">
        <v>9</v>
      </c>
      <c r="D40" s="652"/>
      <c r="E40" s="653">
        <v>10000</v>
      </c>
      <c r="F40" s="652"/>
      <c r="G40" s="654"/>
      <c r="H40" s="653"/>
      <c r="I40" s="652"/>
      <c r="J40" s="652"/>
      <c r="K40" s="658">
        <v>0</v>
      </c>
      <c r="L40" s="661">
        <v>101449.7</v>
      </c>
      <c r="M40" s="587">
        <f t="shared" si="2"/>
        <v>101449.7</v>
      </c>
      <c r="N40" s="597">
        <f>SUM(M37:M40)</f>
        <v>150000</v>
      </c>
    </row>
    <row r="41" spans="1:16" ht="17.100000000000001">
      <c r="A41" s="711" t="s">
        <v>183</v>
      </c>
      <c r="B41" s="650" t="s">
        <v>3</v>
      </c>
      <c r="C41" s="651" t="s">
        <v>4</v>
      </c>
      <c r="D41" s="652"/>
      <c r="E41" s="652">
        <v>10000</v>
      </c>
      <c r="F41" s="652">
        <v>10000</v>
      </c>
      <c r="G41" s="654"/>
      <c r="H41" s="653"/>
      <c r="I41" s="652"/>
      <c r="J41" s="652"/>
      <c r="K41" s="658"/>
      <c r="L41" s="661"/>
      <c r="M41" s="587">
        <f t="shared" si="2"/>
        <v>0</v>
      </c>
      <c r="N41" s="596"/>
    </row>
    <row r="42" spans="1:16" ht="33.950000000000003">
      <c r="A42" s="709"/>
      <c r="B42" s="650" t="s">
        <v>3</v>
      </c>
      <c r="C42" s="651" t="s">
        <v>171</v>
      </c>
      <c r="D42" s="652"/>
      <c r="E42" s="653">
        <v>10000</v>
      </c>
      <c r="F42" s="652"/>
      <c r="G42" s="654"/>
      <c r="H42" s="653"/>
      <c r="I42" s="652"/>
      <c r="J42" s="652"/>
      <c r="K42" s="658"/>
      <c r="L42" s="661"/>
      <c r="M42" s="587">
        <f t="shared" si="2"/>
        <v>0</v>
      </c>
      <c r="N42" s="596"/>
    </row>
    <row r="43" spans="1:16" ht="33.950000000000003">
      <c r="A43" s="709"/>
      <c r="B43" s="650" t="s">
        <v>3</v>
      </c>
      <c r="C43" s="663" t="s">
        <v>6</v>
      </c>
      <c r="D43" s="652"/>
      <c r="E43" s="653">
        <v>10000</v>
      </c>
      <c r="F43" s="652"/>
      <c r="G43" s="654"/>
      <c r="H43" s="653"/>
      <c r="I43" s="652"/>
      <c r="J43" s="652"/>
      <c r="K43" s="658"/>
      <c r="L43" s="661"/>
      <c r="M43" s="587">
        <f t="shared" si="2"/>
        <v>0</v>
      </c>
      <c r="N43" s="596"/>
    </row>
    <row r="44" spans="1:16" ht="17.45" thickBot="1">
      <c r="A44" s="710"/>
      <c r="B44" s="650" t="s">
        <v>158</v>
      </c>
      <c r="C44" s="663" t="s">
        <v>9</v>
      </c>
      <c r="D44" s="652"/>
      <c r="E44" s="652">
        <v>3000</v>
      </c>
      <c r="F44" s="652">
        <v>3000</v>
      </c>
      <c r="G44" s="654"/>
      <c r="H44" s="653"/>
      <c r="I44" s="652"/>
      <c r="J44" s="652"/>
      <c r="K44" s="664"/>
      <c r="L44" s="665">
        <v>250000</v>
      </c>
      <c r="M44" s="588">
        <f t="shared" si="2"/>
        <v>250000</v>
      </c>
      <c r="N44" s="597">
        <f>SUM(M41:M44)</f>
        <v>250000</v>
      </c>
    </row>
    <row r="45" spans="1:16" ht="17.45" thickBot="1">
      <c r="A45" s="198" t="s">
        <v>184</v>
      </c>
      <c r="B45" s="199"/>
      <c r="C45" s="200"/>
      <c r="D45" s="201"/>
      <c r="E45" s="201"/>
      <c r="F45" s="201"/>
      <c r="G45" s="202"/>
      <c r="H45" s="203"/>
      <c r="I45" s="201"/>
      <c r="J45" s="201"/>
      <c r="K45" s="182"/>
      <c r="L45" s="183"/>
      <c r="M45" s="585">
        <f t="shared" ref="M45" si="4">SUM(D45:J45)</f>
        <v>0</v>
      </c>
      <c r="N45" s="599">
        <f>SUM(M46:M63)</f>
        <v>2988501</v>
      </c>
    </row>
    <row r="46" spans="1:16" ht="17.100000000000001">
      <c r="A46" s="692" t="s">
        <v>185</v>
      </c>
      <c r="B46" s="192" t="s">
        <v>3</v>
      </c>
      <c r="C46" s="163" t="s">
        <v>4</v>
      </c>
      <c r="D46" s="164"/>
      <c r="E46" s="166">
        <v>10000</v>
      </c>
      <c r="F46" s="164"/>
      <c r="G46" s="165"/>
      <c r="H46" s="166"/>
      <c r="I46" s="164"/>
      <c r="J46" s="164"/>
      <c r="K46" s="185"/>
      <c r="L46" s="204">
        <v>30000</v>
      </c>
      <c r="M46" s="586">
        <f>K46+L46</f>
        <v>30000</v>
      </c>
      <c r="N46" s="596"/>
    </row>
    <row r="47" spans="1:16" ht="17.100000000000001">
      <c r="A47" s="686"/>
      <c r="B47" s="192" t="s">
        <v>3</v>
      </c>
      <c r="C47" s="205" t="s">
        <v>10</v>
      </c>
      <c r="D47" s="164"/>
      <c r="E47" s="166"/>
      <c r="F47" s="164"/>
      <c r="G47" s="165"/>
      <c r="H47" s="166"/>
      <c r="I47" s="164"/>
      <c r="J47" s="164"/>
      <c r="K47" s="187"/>
      <c r="L47" s="190">
        <v>75000</v>
      </c>
      <c r="M47" s="587">
        <f>K47+L47</f>
        <v>75000</v>
      </c>
      <c r="N47" s="596"/>
    </row>
    <row r="48" spans="1:16" ht="33.950000000000003">
      <c r="A48" s="686"/>
      <c r="B48" s="192" t="s">
        <v>3</v>
      </c>
      <c r="C48" s="205" t="s">
        <v>171</v>
      </c>
      <c r="D48" s="164"/>
      <c r="E48" s="166"/>
      <c r="F48" s="164"/>
      <c r="G48" s="165"/>
      <c r="H48" s="166"/>
      <c r="I48" s="164"/>
      <c r="J48" s="164"/>
      <c r="K48" s="187"/>
      <c r="L48" s="190">
        <v>30000</v>
      </c>
      <c r="M48" s="587">
        <f>K48+L48</f>
        <v>30000</v>
      </c>
      <c r="N48" s="596"/>
      <c r="O48" s="98"/>
      <c r="P48" s="83"/>
    </row>
    <row r="49" spans="1:16" ht="33.950000000000003">
      <c r="A49" s="686"/>
      <c r="B49" s="192" t="s">
        <v>3</v>
      </c>
      <c r="C49" s="172" t="s">
        <v>6</v>
      </c>
      <c r="D49" s="164"/>
      <c r="E49" s="166">
        <v>50000</v>
      </c>
      <c r="F49" s="164"/>
      <c r="G49" s="165"/>
      <c r="H49" s="166"/>
      <c r="I49" s="164"/>
      <c r="J49" s="164"/>
      <c r="K49" s="187"/>
      <c r="L49" s="190">
        <v>33750</v>
      </c>
      <c r="M49" s="587">
        <f>K49+L49</f>
        <v>33750</v>
      </c>
      <c r="N49" s="596"/>
      <c r="P49" s="86"/>
    </row>
    <row r="50" spans="1:16" ht="17.100000000000001">
      <c r="A50" s="687"/>
      <c r="B50" s="192" t="s">
        <v>158</v>
      </c>
      <c r="C50" s="172" t="s">
        <v>9</v>
      </c>
      <c r="D50" s="164"/>
      <c r="E50" s="166">
        <v>50000</v>
      </c>
      <c r="F50" s="164"/>
      <c r="G50" s="165"/>
      <c r="H50" s="166"/>
      <c r="I50" s="164"/>
      <c r="J50" s="164"/>
      <c r="K50" s="187">
        <v>0</v>
      </c>
      <c r="L50" s="190">
        <v>506250</v>
      </c>
      <c r="M50" s="587">
        <f t="shared" ref="M50:M63" si="5">K50+L50</f>
        <v>506250</v>
      </c>
      <c r="N50" s="597">
        <f>SUM(M46:M50)</f>
        <v>675000</v>
      </c>
      <c r="P50" s="86"/>
    </row>
    <row r="51" spans="1:16" ht="17.100000000000001">
      <c r="A51" s="685" t="s">
        <v>186</v>
      </c>
      <c r="B51" s="192" t="s">
        <v>3</v>
      </c>
      <c r="C51" s="163" t="s">
        <v>4</v>
      </c>
      <c r="D51" s="164"/>
      <c r="E51" s="166">
        <v>10000</v>
      </c>
      <c r="F51" s="164"/>
      <c r="G51" s="165"/>
      <c r="H51" s="166"/>
      <c r="I51" s="164"/>
      <c r="J51" s="164"/>
      <c r="K51" s="187"/>
      <c r="L51" s="190">
        <v>35500</v>
      </c>
      <c r="M51" s="587">
        <f t="shared" si="5"/>
        <v>35500</v>
      </c>
      <c r="N51" s="596"/>
    </row>
    <row r="52" spans="1:16" ht="17.100000000000001">
      <c r="A52" s="686"/>
      <c r="B52" s="192" t="s">
        <v>3</v>
      </c>
      <c r="C52" s="205" t="s">
        <v>10</v>
      </c>
      <c r="D52" s="164"/>
      <c r="E52" s="166"/>
      <c r="F52" s="164"/>
      <c r="G52" s="165"/>
      <c r="H52" s="166"/>
      <c r="I52" s="164"/>
      <c r="J52" s="164"/>
      <c r="K52" s="187"/>
      <c r="L52" s="190">
        <v>45000</v>
      </c>
      <c r="M52" s="587">
        <f t="shared" si="5"/>
        <v>45000</v>
      </c>
      <c r="N52" s="596"/>
    </row>
    <row r="53" spans="1:16" ht="33.950000000000003">
      <c r="A53" s="686"/>
      <c r="B53" s="192" t="s">
        <v>3</v>
      </c>
      <c r="C53" s="205" t="s">
        <v>171</v>
      </c>
      <c r="D53" s="164"/>
      <c r="E53" s="166"/>
      <c r="F53" s="164"/>
      <c r="G53" s="165"/>
      <c r="H53" s="166"/>
      <c r="I53" s="164"/>
      <c r="J53" s="164"/>
      <c r="K53" s="187"/>
      <c r="L53" s="190">
        <v>78050.3</v>
      </c>
      <c r="M53" s="587">
        <f t="shared" si="5"/>
        <v>78050.3</v>
      </c>
      <c r="N53" s="596"/>
      <c r="O53" s="98"/>
      <c r="P53" s="83"/>
    </row>
    <row r="54" spans="1:16" ht="33.950000000000003">
      <c r="A54" s="686"/>
      <c r="B54" s="192" t="s">
        <v>3</v>
      </c>
      <c r="C54" s="172" t="s">
        <v>6</v>
      </c>
      <c r="D54" s="164"/>
      <c r="E54" s="166">
        <v>50000</v>
      </c>
      <c r="F54" s="164"/>
      <c r="G54" s="165"/>
      <c r="H54" s="166"/>
      <c r="I54" s="164"/>
      <c r="J54" s="164"/>
      <c r="K54" s="187"/>
      <c r="L54" s="190">
        <v>150000</v>
      </c>
      <c r="M54" s="587">
        <f t="shared" si="5"/>
        <v>150000</v>
      </c>
      <c r="N54" s="596"/>
    </row>
    <row r="55" spans="1:16" ht="17.100000000000001">
      <c r="A55" s="687"/>
      <c r="B55" s="192" t="s">
        <v>158</v>
      </c>
      <c r="C55" s="163" t="s">
        <v>9</v>
      </c>
      <c r="D55" s="164"/>
      <c r="E55" s="166">
        <v>5000</v>
      </c>
      <c r="F55" s="164"/>
      <c r="G55" s="165"/>
      <c r="H55" s="166"/>
      <c r="I55" s="164"/>
      <c r="J55" s="164"/>
      <c r="K55" s="187">
        <v>0</v>
      </c>
      <c r="L55" s="190">
        <v>719950.7</v>
      </c>
      <c r="M55" s="587">
        <f t="shared" si="5"/>
        <v>719950.7</v>
      </c>
      <c r="N55" s="597">
        <f>SUM(M51:M55)</f>
        <v>1028501</v>
      </c>
    </row>
    <row r="56" spans="1:16" ht="17.100000000000001">
      <c r="A56" s="685" t="s">
        <v>187</v>
      </c>
      <c r="B56" s="192" t="s">
        <v>3</v>
      </c>
      <c r="C56" s="163" t="s">
        <v>4</v>
      </c>
      <c r="D56" s="164"/>
      <c r="E56" s="166">
        <v>10000</v>
      </c>
      <c r="F56" s="164"/>
      <c r="G56" s="165"/>
      <c r="H56" s="166"/>
      <c r="I56" s="164"/>
      <c r="J56" s="164"/>
      <c r="K56" s="187">
        <v>0</v>
      </c>
      <c r="L56" s="190">
        <v>0</v>
      </c>
      <c r="M56" s="587">
        <f t="shared" si="5"/>
        <v>0</v>
      </c>
      <c r="N56" s="596"/>
    </row>
    <row r="57" spans="1:16" ht="17.100000000000001">
      <c r="A57" s="686"/>
      <c r="B57" s="192" t="s">
        <v>3</v>
      </c>
      <c r="C57" s="205" t="s">
        <v>10</v>
      </c>
      <c r="D57" s="164"/>
      <c r="E57" s="166"/>
      <c r="F57" s="164"/>
      <c r="G57" s="165"/>
      <c r="H57" s="166"/>
      <c r="I57" s="164"/>
      <c r="J57" s="164"/>
      <c r="K57" s="187"/>
      <c r="L57" s="190">
        <v>25000</v>
      </c>
      <c r="M57" s="587">
        <f t="shared" si="5"/>
        <v>25000</v>
      </c>
      <c r="N57" s="596"/>
    </row>
    <row r="58" spans="1:16" ht="33.950000000000003">
      <c r="A58" s="686"/>
      <c r="B58" s="192" t="s">
        <v>3</v>
      </c>
      <c r="C58" s="205" t="s">
        <v>171</v>
      </c>
      <c r="D58" s="164"/>
      <c r="E58" s="166"/>
      <c r="F58" s="164"/>
      <c r="G58" s="165"/>
      <c r="H58" s="166"/>
      <c r="I58" s="164"/>
      <c r="J58" s="164"/>
      <c r="K58" s="187"/>
      <c r="L58" s="190">
        <v>8750</v>
      </c>
      <c r="M58" s="587">
        <f t="shared" si="5"/>
        <v>8750</v>
      </c>
      <c r="N58" s="596"/>
      <c r="O58" s="98"/>
      <c r="P58" s="83"/>
    </row>
    <row r="59" spans="1:16" ht="17.100000000000001">
      <c r="A59" s="687"/>
      <c r="B59" s="192" t="s">
        <v>158</v>
      </c>
      <c r="C59" s="191" t="s">
        <v>9</v>
      </c>
      <c r="D59" s="164"/>
      <c r="E59" s="166">
        <v>10000</v>
      </c>
      <c r="F59" s="164"/>
      <c r="G59" s="165"/>
      <c r="H59" s="166"/>
      <c r="I59" s="164"/>
      <c r="J59" s="164"/>
      <c r="K59" s="187">
        <v>0</v>
      </c>
      <c r="L59" s="190">
        <v>101250</v>
      </c>
      <c r="M59" s="587">
        <f t="shared" si="5"/>
        <v>101250</v>
      </c>
      <c r="N59" s="597">
        <f>SUM(M56:M59)</f>
        <v>135000</v>
      </c>
    </row>
    <row r="60" spans="1:16" ht="17.100000000000001">
      <c r="A60" s="685" t="s">
        <v>188</v>
      </c>
      <c r="B60" s="192" t="s">
        <v>3</v>
      </c>
      <c r="C60" s="163" t="s">
        <v>4</v>
      </c>
      <c r="D60" s="646"/>
      <c r="E60" s="646">
        <v>10000</v>
      </c>
      <c r="F60" s="646">
        <v>10000</v>
      </c>
      <c r="G60" s="647"/>
      <c r="H60" s="648"/>
      <c r="I60" s="646"/>
      <c r="J60" s="646"/>
      <c r="K60" s="187">
        <v>1100000</v>
      </c>
      <c r="L60" s="190"/>
      <c r="M60" s="587">
        <f t="shared" si="5"/>
        <v>1100000</v>
      </c>
      <c r="N60" s="596"/>
    </row>
    <row r="61" spans="1:16" ht="17.100000000000001">
      <c r="A61" s="687"/>
      <c r="B61" s="192" t="s">
        <v>158</v>
      </c>
      <c r="C61" s="191" t="s">
        <v>4</v>
      </c>
      <c r="D61" s="646"/>
      <c r="E61" s="646">
        <v>3000</v>
      </c>
      <c r="F61" s="646">
        <v>3000</v>
      </c>
      <c r="G61" s="647"/>
      <c r="H61" s="648"/>
      <c r="I61" s="646"/>
      <c r="J61" s="646"/>
      <c r="K61" s="187">
        <v>0</v>
      </c>
      <c r="L61" s="190"/>
      <c r="M61" s="587">
        <f t="shared" si="5"/>
        <v>0</v>
      </c>
      <c r="N61" s="597">
        <f>SUM(M60:M61)</f>
        <v>1100000</v>
      </c>
    </row>
    <row r="62" spans="1:16" ht="17.100000000000001">
      <c r="A62" s="685" t="s">
        <v>189</v>
      </c>
      <c r="B62" s="192" t="s">
        <v>3</v>
      </c>
      <c r="C62" s="163" t="s">
        <v>10</v>
      </c>
      <c r="D62" s="646"/>
      <c r="E62" s="646">
        <v>10000</v>
      </c>
      <c r="F62" s="646">
        <v>10000</v>
      </c>
      <c r="G62" s="647"/>
      <c r="H62" s="648"/>
      <c r="I62" s="646"/>
      <c r="J62" s="646"/>
      <c r="K62" s="187"/>
      <c r="L62" s="190">
        <v>12500</v>
      </c>
      <c r="M62" s="587">
        <f t="shared" si="5"/>
        <v>12500</v>
      </c>
      <c r="N62" s="596"/>
    </row>
    <row r="63" spans="1:16" ht="17.45" thickBot="1">
      <c r="A63" s="687"/>
      <c r="B63" s="192" t="s">
        <v>158</v>
      </c>
      <c r="C63" s="191" t="s">
        <v>9</v>
      </c>
      <c r="D63" s="646"/>
      <c r="E63" s="646">
        <v>3000</v>
      </c>
      <c r="F63" s="646">
        <v>3000</v>
      </c>
      <c r="G63" s="647"/>
      <c r="H63" s="648"/>
      <c r="I63" s="646"/>
      <c r="J63" s="646"/>
      <c r="K63" s="196">
        <v>0</v>
      </c>
      <c r="L63" s="197">
        <v>37500</v>
      </c>
      <c r="M63" s="588">
        <f t="shared" si="5"/>
        <v>37500</v>
      </c>
      <c r="N63" s="597">
        <f>SUM(M62:M63)</f>
        <v>50000</v>
      </c>
    </row>
    <row r="64" spans="1:16" ht="17.45" thickBot="1">
      <c r="A64" s="682" t="s">
        <v>190</v>
      </c>
      <c r="B64" s="733"/>
      <c r="C64" s="733"/>
      <c r="D64" s="733"/>
      <c r="E64" s="733"/>
      <c r="F64" s="733"/>
      <c r="G64" s="733"/>
      <c r="H64" s="733"/>
      <c r="I64" s="733"/>
      <c r="J64" s="733"/>
      <c r="K64" s="153"/>
      <c r="L64" s="154"/>
      <c r="M64" s="585">
        <f t="shared" si="1"/>
        <v>0</v>
      </c>
      <c r="N64" s="596"/>
    </row>
    <row r="65" spans="1:16" ht="17.45" thickBot="1">
      <c r="A65" s="206" t="s">
        <v>191</v>
      </c>
      <c r="B65" s="207"/>
      <c r="C65" s="208"/>
      <c r="D65" s="209"/>
      <c r="E65" s="209"/>
      <c r="F65" s="209"/>
      <c r="G65" s="210"/>
      <c r="H65" s="211"/>
      <c r="I65" s="209"/>
      <c r="J65" s="209"/>
      <c r="K65" s="160"/>
      <c r="L65" s="161"/>
      <c r="M65" s="581">
        <f t="shared" si="1"/>
        <v>0</v>
      </c>
      <c r="N65" s="599">
        <f>SUM(M66:M74)</f>
        <v>400000</v>
      </c>
    </row>
    <row r="66" spans="1:16" ht="17.100000000000001">
      <c r="A66" s="683" t="s">
        <v>192</v>
      </c>
      <c r="B66" s="212" t="s">
        <v>3</v>
      </c>
      <c r="C66" s="213" t="s">
        <v>4</v>
      </c>
      <c r="D66" s="214"/>
      <c r="E66" s="214">
        <v>10000</v>
      </c>
      <c r="F66" s="214"/>
      <c r="G66" s="215"/>
      <c r="H66" s="216"/>
      <c r="I66" s="214"/>
      <c r="J66" s="214"/>
      <c r="K66" s="204">
        <v>12500</v>
      </c>
      <c r="L66" s="204">
        <v>0</v>
      </c>
      <c r="M66" s="586">
        <f t="shared" ref="M66:M86" si="6">K66+L66</f>
        <v>12500</v>
      </c>
      <c r="N66" s="596"/>
    </row>
    <row r="67" spans="1:16" ht="17.100000000000001">
      <c r="A67" s="684"/>
      <c r="B67" s="162" t="s">
        <v>3</v>
      </c>
      <c r="C67" s="205" t="s">
        <v>10</v>
      </c>
      <c r="D67" s="164"/>
      <c r="E67" s="166">
        <v>550000</v>
      </c>
      <c r="F67" s="164"/>
      <c r="G67" s="165"/>
      <c r="H67" s="166"/>
      <c r="I67" s="164"/>
      <c r="J67" s="164"/>
      <c r="K67" s="190">
        <v>30000</v>
      </c>
      <c r="L67" s="190">
        <v>0</v>
      </c>
      <c r="M67" s="587">
        <f t="shared" si="6"/>
        <v>30000</v>
      </c>
      <c r="N67" s="596"/>
    </row>
    <row r="68" spans="1:16" ht="33.950000000000003">
      <c r="A68" s="684"/>
      <c r="B68" s="162" t="s">
        <v>3</v>
      </c>
      <c r="C68" s="191" t="s">
        <v>6</v>
      </c>
      <c r="D68" s="164"/>
      <c r="E68" s="164">
        <v>15000</v>
      </c>
      <c r="F68" s="164"/>
      <c r="G68" s="165"/>
      <c r="H68" s="166"/>
      <c r="I68" s="164"/>
      <c r="J68" s="164"/>
      <c r="K68" s="190">
        <v>7500</v>
      </c>
      <c r="L68" s="188">
        <v>0</v>
      </c>
      <c r="M68" s="587">
        <f t="shared" si="6"/>
        <v>7500</v>
      </c>
      <c r="N68" s="596"/>
    </row>
    <row r="69" spans="1:16" ht="17.100000000000001">
      <c r="A69" s="684"/>
      <c r="B69" s="162" t="s">
        <v>158</v>
      </c>
      <c r="C69" s="191" t="s">
        <v>9</v>
      </c>
      <c r="D69" s="164"/>
      <c r="E69" s="164">
        <v>15000</v>
      </c>
      <c r="F69" s="164"/>
      <c r="G69" s="165"/>
      <c r="H69" s="166"/>
      <c r="I69" s="164"/>
      <c r="J69" s="164"/>
      <c r="K69" s="217">
        <v>0</v>
      </c>
      <c r="L69" s="171">
        <v>150000</v>
      </c>
      <c r="M69" s="589">
        <f t="shared" si="6"/>
        <v>150000</v>
      </c>
      <c r="N69" s="597">
        <f>SUM(M66:M69)</f>
        <v>200000</v>
      </c>
    </row>
    <row r="70" spans="1:16" ht="17.100000000000001">
      <c r="A70" s="684" t="s">
        <v>193</v>
      </c>
      <c r="B70" s="162" t="s">
        <v>3</v>
      </c>
      <c r="C70" s="163" t="s">
        <v>4</v>
      </c>
      <c r="D70" s="164"/>
      <c r="E70" s="164"/>
      <c r="F70" s="164"/>
      <c r="G70" s="165"/>
      <c r="H70" s="166">
        <v>10000</v>
      </c>
      <c r="I70" s="164">
        <v>10000</v>
      </c>
      <c r="J70" s="164">
        <v>1000</v>
      </c>
      <c r="K70" s="190">
        <v>30000</v>
      </c>
      <c r="L70" s="189">
        <v>0</v>
      </c>
      <c r="M70" s="587">
        <f t="shared" si="6"/>
        <v>30000</v>
      </c>
      <c r="N70" s="596"/>
    </row>
    <row r="71" spans="1:16" ht="33.950000000000003">
      <c r="A71" s="684"/>
      <c r="B71" s="162" t="s">
        <v>3</v>
      </c>
      <c r="C71" s="191" t="s">
        <v>6</v>
      </c>
      <c r="D71" s="164"/>
      <c r="E71" s="164"/>
      <c r="F71" s="164"/>
      <c r="G71" s="165"/>
      <c r="H71" s="166">
        <v>3000</v>
      </c>
      <c r="I71" s="164">
        <v>3000</v>
      </c>
      <c r="J71" s="164">
        <v>3000</v>
      </c>
      <c r="K71" s="190">
        <v>7500</v>
      </c>
      <c r="L71" s="190">
        <v>0</v>
      </c>
      <c r="M71" s="587">
        <f t="shared" si="6"/>
        <v>7500</v>
      </c>
      <c r="N71" s="596"/>
    </row>
    <row r="72" spans="1:16" ht="17.100000000000001">
      <c r="A72" s="684"/>
      <c r="B72" s="173" t="s">
        <v>158</v>
      </c>
      <c r="C72" s="163" t="s">
        <v>9</v>
      </c>
      <c r="D72" s="193"/>
      <c r="E72" s="193"/>
      <c r="F72" s="193"/>
      <c r="G72" s="194"/>
      <c r="H72" s="166">
        <v>550000</v>
      </c>
      <c r="I72" s="166">
        <v>550000</v>
      </c>
      <c r="J72" s="166">
        <v>550000</v>
      </c>
      <c r="K72" s="190">
        <v>0</v>
      </c>
      <c r="L72" s="190">
        <v>112500</v>
      </c>
      <c r="M72" s="587">
        <f t="shared" si="6"/>
        <v>112500</v>
      </c>
      <c r="N72" s="597">
        <f>SUM(M70:M72)</f>
        <v>150000</v>
      </c>
    </row>
    <row r="73" spans="1:16" ht="17.100000000000001">
      <c r="A73" s="684" t="s">
        <v>194</v>
      </c>
      <c r="B73" s="162" t="s">
        <v>3</v>
      </c>
      <c r="C73" s="163" t="s">
        <v>4</v>
      </c>
      <c r="D73" s="164"/>
      <c r="E73" s="164">
        <v>10000</v>
      </c>
      <c r="F73" s="164"/>
      <c r="G73" s="165"/>
      <c r="H73" s="166"/>
      <c r="I73" s="164"/>
      <c r="J73" s="164"/>
      <c r="K73" s="190">
        <v>12500</v>
      </c>
      <c r="L73" s="190">
        <v>0</v>
      </c>
      <c r="M73" s="587">
        <f t="shared" si="6"/>
        <v>12500</v>
      </c>
      <c r="N73" s="596"/>
    </row>
    <row r="74" spans="1:16" ht="17.45" thickBot="1">
      <c r="A74" s="706"/>
      <c r="B74" s="218" t="s">
        <v>158</v>
      </c>
      <c r="C74" s="219" t="s">
        <v>9</v>
      </c>
      <c r="D74" s="220"/>
      <c r="E74" s="220">
        <v>15000</v>
      </c>
      <c r="F74" s="220"/>
      <c r="G74" s="221"/>
      <c r="H74" s="222"/>
      <c r="I74" s="220"/>
      <c r="J74" s="220"/>
      <c r="K74" s="197">
        <v>0</v>
      </c>
      <c r="L74" s="197">
        <v>37500</v>
      </c>
      <c r="M74" s="588">
        <f t="shared" si="6"/>
        <v>37500</v>
      </c>
      <c r="N74" s="597">
        <f>SUM(M73:M74)</f>
        <v>50000</v>
      </c>
    </row>
    <row r="75" spans="1:16" ht="17.45" thickBot="1">
      <c r="A75" s="223" t="s">
        <v>195</v>
      </c>
      <c r="B75" s="224"/>
      <c r="C75" s="225"/>
      <c r="D75" s="226"/>
      <c r="E75" s="226"/>
      <c r="F75" s="226"/>
      <c r="G75" s="227"/>
      <c r="H75" s="228"/>
      <c r="I75" s="226"/>
      <c r="J75" s="226"/>
      <c r="K75" s="229"/>
      <c r="L75" s="230"/>
      <c r="M75" s="590">
        <f t="shared" si="1"/>
        <v>0</v>
      </c>
      <c r="N75" s="599">
        <f>SUM(M76:M86)</f>
        <v>1310000</v>
      </c>
    </row>
    <row r="76" spans="1:16" ht="17.100000000000001">
      <c r="A76" s="692" t="s">
        <v>196</v>
      </c>
      <c r="B76" s="162" t="s">
        <v>3</v>
      </c>
      <c r="C76" s="163" t="s">
        <v>4</v>
      </c>
      <c r="D76" s="164"/>
      <c r="E76" s="164"/>
      <c r="F76" s="164">
        <v>10000</v>
      </c>
      <c r="G76" s="165"/>
      <c r="H76" s="166"/>
      <c r="I76" s="164"/>
      <c r="J76" s="164"/>
      <c r="K76" s="231">
        <v>12500</v>
      </c>
      <c r="L76" s="190"/>
      <c r="M76" s="586">
        <f t="shared" si="6"/>
        <v>12500</v>
      </c>
      <c r="N76" s="596"/>
    </row>
    <row r="77" spans="1:16" ht="17.100000000000001">
      <c r="A77" s="686"/>
      <c r="B77" s="173" t="s">
        <v>3</v>
      </c>
      <c r="C77" s="163" t="s">
        <v>10</v>
      </c>
      <c r="D77" s="164"/>
      <c r="E77" s="164"/>
      <c r="F77" s="166">
        <v>550000</v>
      </c>
      <c r="G77" s="165"/>
      <c r="H77" s="166"/>
      <c r="I77" s="164"/>
      <c r="J77" s="164"/>
      <c r="K77" s="231">
        <v>35000</v>
      </c>
      <c r="L77" s="190"/>
      <c r="M77" s="587">
        <f t="shared" si="6"/>
        <v>35000</v>
      </c>
      <c r="N77" s="596"/>
      <c r="O77" s="98"/>
      <c r="P77" s="98"/>
    </row>
    <row r="78" spans="1:16" ht="33.950000000000003">
      <c r="A78" s="686"/>
      <c r="B78" s="173" t="s">
        <v>3</v>
      </c>
      <c r="C78" s="163" t="s">
        <v>171</v>
      </c>
      <c r="D78" s="164"/>
      <c r="E78" s="164"/>
      <c r="F78" s="164">
        <v>10000</v>
      </c>
      <c r="G78" s="165"/>
      <c r="H78" s="166"/>
      <c r="I78" s="164"/>
      <c r="J78" s="164"/>
      <c r="K78" s="231">
        <v>15000</v>
      </c>
      <c r="L78" s="190"/>
      <c r="M78" s="587">
        <f t="shared" si="6"/>
        <v>15000</v>
      </c>
      <c r="N78" s="596"/>
    </row>
    <row r="79" spans="1:16" ht="17.100000000000001">
      <c r="A79" s="687"/>
      <c r="B79" s="173" t="s">
        <v>158</v>
      </c>
      <c r="C79" s="232" t="s">
        <v>9</v>
      </c>
      <c r="D79" s="164"/>
      <c r="E79" s="164"/>
      <c r="F79" s="164">
        <v>20000</v>
      </c>
      <c r="G79" s="165"/>
      <c r="H79" s="166"/>
      <c r="I79" s="164"/>
      <c r="J79" s="164"/>
      <c r="K79" s="231"/>
      <c r="L79" s="190">
        <v>187500</v>
      </c>
      <c r="M79" s="589">
        <f t="shared" si="6"/>
        <v>187500</v>
      </c>
      <c r="N79" s="597">
        <f>SUM(M76:M79)</f>
        <v>250000</v>
      </c>
    </row>
    <row r="80" spans="1:16" ht="17.100000000000001">
      <c r="A80" s="685" t="s">
        <v>197</v>
      </c>
      <c r="B80" s="162" t="s">
        <v>3</v>
      </c>
      <c r="C80" s="163" t="s">
        <v>4</v>
      </c>
      <c r="D80" s="164"/>
      <c r="E80" s="164"/>
      <c r="F80" s="164"/>
      <c r="G80" s="164">
        <v>20000</v>
      </c>
      <c r="H80" s="164">
        <v>20000</v>
      </c>
      <c r="I80" s="164"/>
      <c r="J80" s="164"/>
      <c r="K80" s="231">
        <v>65000</v>
      </c>
      <c r="L80" s="190"/>
      <c r="M80" s="587">
        <f t="shared" si="6"/>
        <v>65000</v>
      </c>
      <c r="N80" s="596"/>
    </row>
    <row r="81" spans="1:15" ht="17.100000000000001">
      <c r="A81" s="686"/>
      <c r="B81" s="173" t="s">
        <v>3</v>
      </c>
      <c r="C81" s="163" t="s">
        <v>10</v>
      </c>
      <c r="D81" s="164"/>
      <c r="E81" s="164"/>
      <c r="F81" s="164"/>
      <c r="G81" s="166">
        <v>550000</v>
      </c>
      <c r="H81" s="166">
        <v>550000</v>
      </c>
      <c r="I81" s="164"/>
      <c r="J81" s="164"/>
      <c r="K81" s="231">
        <v>135000</v>
      </c>
      <c r="L81" s="190"/>
      <c r="M81" s="587">
        <f t="shared" si="6"/>
        <v>135000</v>
      </c>
      <c r="N81" s="596"/>
    </row>
    <row r="82" spans="1:15" ht="33.950000000000003">
      <c r="A82" s="686"/>
      <c r="B82" s="173" t="s">
        <v>3</v>
      </c>
      <c r="C82" s="205" t="s">
        <v>171</v>
      </c>
      <c r="D82" s="164"/>
      <c r="E82" s="164"/>
      <c r="F82" s="164"/>
      <c r="G82" s="164"/>
      <c r="H82" s="166"/>
      <c r="I82" s="164"/>
      <c r="J82" s="164"/>
      <c r="K82" s="231">
        <v>35000</v>
      </c>
      <c r="L82" s="190"/>
      <c r="M82" s="587">
        <f t="shared" si="6"/>
        <v>35000</v>
      </c>
      <c r="N82" s="596"/>
    </row>
    <row r="83" spans="1:15" ht="33.950000000000003">
      <c r="A83" s="686"/>
      <c r="B83" s="173" t="s">
        <v>3</v>
      </c>
      <c r="C83" s="205" t="s">
        <v>6</v>
      </c>
      <c r="D83" s="164"/>
      <c r="E83" s="164"/>
      <c r="F83" s="164"/>
      <c r="G83" s="164"/>
      <c r="H83" s="166"/>
      <c r="I83" s="164"/>
      <c r="J83" s="164"/>
      <c r="K83" s="231">
        <v>17500</v>
      </c>
      <c r="L83" s="190"/>
      <c r="M83" s="587">
        <f t="shared" si="6"/>
        <v>17500</v>
      </c>
      <c r="N83" s="596"/>
    </row>
    <row r="84" spans="1:15" ht="17.100000000000001">
      <c r="A84" s="687"/>
      <c r="B84" s="173" t="s">
        <v>158</v>
      </c>
      <c r="C84" s="232" t="s">
        <v>9</v>
      </c>
      <c r="D84" s="164"/>
      <c r="E84" s="164"/>
      <c r="F84" s="164"/>
      <c r="G84" s="165">
        <v>20000</v>
      </c>
      <c r="H84" s="166">
        <v>20000</v>
      </c>
      <c r="I84" s="164"/>
      <c r="J84" s="164"/>
      <c r="K84" s="231"/>
      <c r="L84" s="190">
        <v>757500</v>
      </c>
      <c r="M84" s="587">
        <f t="shared" si="6"/>
        <v>757500</v>
      </c>
      <c r="N84" s="597">
        <f>SUM(M80:M84)</f>
        <v>1010000</v>
      </c>
    </row>
    <row r="85" spans="1:15" ht="33.950000000000003">
      <c r="A85" s="685" t="s">
        <v>198</v>
      </c>
      <c r="B85" s="162" t="s">
        <v>3</v>
      </c>
      <c r="C85" s="163" t="s">
        <v>6</v>
      </c>
      <c r="D85" s="164"/>
      <c r="E85" s="164"/>
      <c r="F85" s="164"/>
      <c r="G85" s="165"/>
      <c r="H85" s="166"/>
      <c r="I85" s="164"/>
      <c r="J85" s="164">
        <v>10000</v>
      </c>
      <c r="K85" s="231">
        <v>12500</v>
      </c>
      <c r="L85" s="190"/>
      <c r="M85" s="587">
        <f t="shared" si="6"/>
        <v>12500</v>
      </c>
      <c r="N85" s="596"/>
    </row>
    <row r="86" spans="1:15" ht="17.45" thickBot="1">
      <c r="A86" s="699"/>
      <c r="B86" s="173" t="s">
        <v>158</v>
      </c>
      <c r="C86" s="163" t="s">
        <v>9</v>
      </c>
      <c r="D86" s="193"/>
      <c r="E86" s="193"/>
      <c r="F86" s="193"/>
      <c r="G86" s="194"/>
      <c r="H86" s="195"/>
      <c r="I86" s="193"/>
      <c r="J86" s="166">
        <v>550000</v>
      </c>
      <c r="K86" s="233"/>
      <c r="L86" s="188">
        <v>37500</v>
      </c>
      <c r="M86" s="587">
        <f t="shared" si="6"/>
        <v>37500</v>
      </c>
      <c r="N86" s="597">
        <f>SUM(M85:M86)</f>
        <v>50000</v>
      </c>
    </row>
    <row r="87" spans="1:15" ht="17.45" thickBot="1">
      <c r="A87" s="198" t="s">
        <v>199</v>
      </c>
      <c r="B87" s="157"/>
      <c r="C87" s="234"/>
      <c r="D87" s="235"/>
      <c r="E87" s="235"/>
      <c r="F87" s="235"/>
      <c r="G87" s="236"/>
      <c r="H87" s="237"/>
      <c r="I87" s="235"/>
      <c r="J87" s="235"/>
      <c r="K87" s="160"/>
      <c r="L87" s="161"/>
      <c r="M87" s="581">
        <f t="shared" si="1"/>
        <v>0</v>
      </c>
      <c r="N87" s="599">
        <f>SUM(M88:M99)</f>
        <v>450000</v>
      </c>
    </row>
    <row r="88" spans="1:15" ht="33.950000000000003">
      <c r="A88" s="692" t="s">
        <v>200</v>
      </c>
      <c r="B88" s="173" t="s">
        <v>3</v>
      </c>
      <c r="C88" s="163" t="s">
        <v>6</v>
      </c>
      <c r="D88" s="164"/>
      <c r="E88" s="164"/>
      <c r="F88" s="164"/>
      <c r="G88" s="165">
        <v>10000</v>
      </c>
      <c r="H88" s="166"/>
      <c r="I88" s="164"/>
      <c r="J88" s="164"/>
      <c r="K88" s="185">
        <v>12500</v>
      </c>
      <c r="L88" s="204"/>
      <c r="M88" s="586">
        <f>K88+L88</f>
        <v>12500</v>
      </c>
      <c r="N88" s="601"/>
      <c r="O88" s="98"/>
    </row>
    <row r="89" spans="1:15" ht="17.100000000000001">
      <c r="A89" s="687"/>
      <c r="B89" s="173" t="s">
        <v>158</v>
      </c>
      <c r="C89" s="163" t="s">
        <v>9</v>
      </c>
      <c r="D89" s="164"/>
      <c r="E89" s="164"/>
      <c r="F89" s="164"/>
      <c r="G89" s="165">
        <v>10000</v>
      </c>
      <c r="H89" s="166"/>
      <c r="I89" s="164"/>
      <c r="J89" s="164"/>
      <c r="K89" s="187"/>
      <c r="L89" s="190">
        <v>37500</v>
      </c>
      <c r="M89" s="587">
        <f>K89+L89</f>
        <v>37500</v>
      </c>
      <c r="N89" s="597">
        <f>SUM(M88:M89)</f>
        <v>50000</v>
      </c>
    </row>
    <row r="90" spans="1:15" ht="17.100000000000001">
      <c r="A90" s="685" t="s">
        <v>201</v>
      </c>
      <c r="B90" s="173" t="s">
        <v>3</v>
      </c>
      <c r="C90" s="163" t="s">
        <v>10</v>
      </c>
      <c r="D90" s="164"/>
      <c r="E90" s="164"/>
      <c r="F90" s="164"/>
      <c r="G90" s="165"/>
      <c r="H90" s="166">
        <v>10000</v>
      </c>
      <c r="I90" s="166">
        <v>10000</v>
      </c>
      <c r="J90" s="166">
        <v>10000</v>
      </c>
      <c r="K90" s="187">
        <v>25000</v>
      </c>
      <c r="M90" s="587">
        <f t="shared" ref="M90:M118" si="7">K90+L90</f>
        <v>25000</v>
      </c>
      <c r="N90" s="596"/>
    </row>
    <row r="91" spans="1:15" ht="17.100000000000001">
      <c r="A91" s="686"/>
      <c r="B91" s="173" t="s">
        <v>158</v>
      </c>
      <c r="C91" s="205" t="s">
        <v>9</v>
      </c>
      <c r="D91" s="193"/>
      <c r="E91" s="193"/>
      <c r="F91" s="193"/>
      <c r="G91" s="194"/>
      <c r="H91" s="195">
        <v>10000</v>
      </c>
      <c r="I91" s="195">
        <v>10000</v>
      </c>
      <c r="J91" s="195">
        <v>10000</v>
      </c>
      <c r="K91" s="238"/>
      <c r="L91" s="190">
        <v>75000</v>
      </c>
      <c r="M91" s="587">
        <f t="shared" si="7"/>
        <v>75000</v>
      </c>
      <c r="N91" s="597">
        <f>SUM(M90:M91)</f>
        <v>100000</v>
      </c>
    </row>
    <row r="92" spans="1:15" ht="17.100000000000001">
      <c r="A92" s="705" t="s">
        <v>202</v>
      </c>
      <c r="B92" s="173" t="s">
        <v>3</v>
      </c>
      <c r="C92" s="163" t="s">
        <v>10</v>
      </c>
      <c r="D92" s="164"/>
      <c r="E92" s="164"/>
      <c r="F92" s="164"/>
      <c r="G92" s="165"/>
      <c r="H92" s="166">
        <v>10000</v>
      </c>
      <c r="I92" s="166">
        <v>10000</v>
      </c>
      <c r="J92" s="166">
        <v>10000</v>
      </c>
      <c r="K92" s="187">
        <v>35000</v>
      </c>
      <c r="L92" s="239"/>
      <c r="M92" s="587">
        <f t="shared" si="7"/>
        <v>35000</v>
      </c>
      <c r="N92" s="596"/>
    </row>
    <row r="93" spans="1:15" ht="33.950000000000003">
      <c r="A93" s="705"/>
      <c r="B93" s="173" t="s">
        <v>3</v>
      </c>
      <c r="C93" s="172" t="s">
        <v>6</v>
      </c>
      <c r="D93" s="164"/>
      <c r="E93" s="164"/>
      <c r="F93" s="164"/>
      <c r="G93" s="165"/>
      <c r="H93" s="166">
        <v>20000</v>
      </c>
      <c r="I93" s="166">
        <v>20000</v>
      </c>
      <c r="J93" s="166">
        <v>20000</v>
      </c>
      <c r="K93" s="187">
        <v>20000</v>
      </c>
      <c r="L93" s="239"/>
      <c r="M93" s="587">
        <f t="shared" si="7"/>
        <v>20000</v>
      </c>
      <c r="N93" s="596"/>
    </row>
    <row r="94" spans="1:15" ht="33.950000000000003">
      <c r="A94" s="705"/>
      <c r="B94" s="173" t="s">
        <v>3</v>
      </c>
      <c r="C94" s="163" t="s">
        <v>171</v>
      </c>
      <c r="D94" s="164"/>
      <c r="E94" s="164"/>
      <c r="F94" s="164"/>
      <c r="G94" s="165"/>
      <c r="H94" s="166">
        <v>10000</v>
      </c>
      <c r="I94" s="166">
        <v>10000</v>
      </c>
      <c r="J94" s="166">
        <v>10000</v>
      </c>
      <c r="K94" s="187">
        <v>20000</v>
      </c>
      <c r="L94" s="240"/>
      <c r="M94" s="587">
        <f t="shared" si="7"/>
        <v>20000</v>
      </c>
      <c r="N94" s="596"/>
    </row>
    <row r="95" spans="1:15" ht="17.100000000000001">
      <c r="A95" s="705"/>
      <c r="B95" s="173" t="s">
        <v>158</v>
      </c>
      <c r="C95" s="205" t="s">
        <v>9</v>
      </c>
      <c r="D95" s="193"/>
      <c r="E95" s="193"/>
      <c r="F95" s="193"/>
      <c r="G95" s="194"/>
      <c r="H95" s="195">
        <v>10000</v>
      </c>
      <c r="I95" s="195">
        <v>10000</v>
      </c>
      <c r="J95" s="195">
        <v>10000</v>
      </c>
      <c r="K95" s="241"/>
      <c r="L95" s="171">
        <v>75000</v>
      </c>
      <c r="M95" s="587">
        <f t="shared" si="7"/>
        <v>75000</v>
      </c>
      <c r="N95" s="597">
        <f>SUM(M92:M95)</f>
        <v>150000</v>
      </c>
    </row>
    <row r="96" spans="1:15" ht="17.100000000000001">
      <c r="A96" s="686" t="s">
        <v>203</v>
      </c>
      <c r="B96" s="173" t="s">
        <v>3</v>
      </c>
      <c r="C96" s="163" t="s">
        <v>10</v>
      </c>
      <c r="D96" s="164"/>
      <c r="E96" s="164"/>
      <c r="F96" s="164"/>
      <c r="G96" s="165"/>
      <c r="H96" s="166">
        <v>10000</v>
      </c>
      <c r="I96" s="166">
        <v>10000</v>
      </c>
      <c r="J96" s="166">
        <v>10000</v>
      </c>
      <c r="K96" s="187">
        <v>35000</v>
      </c>
      <c r="L96" s="242"/>
      <c r="M96" s="587">
        <f t="shared" si="7"/>
        <v>35000</v>
      </c>
      <c r="N96" s="596"/>
    </row>
    <row r="97" spans="1:14" ht="33.950000000000003">
      <c r="A97" s="686"/>
      <c r="B97" s="173" t="s">
        <v>3</v>
      </c>
      <c r="C97" s="172" t="s">
        <v>6</v>
      </c>
      <c r="D97" s="164"/>
      <c r="E97" s="164"/>
      <c r="F97" s="164"/>
      <c r="G97" s="165"/>
      <c r="H97" s="166">
        <v>20000</v>
      </c>
      <c r="I97" s="166">
        <v>20000</v>
      </c>
      <c r="J97" s="166">
        <v>20000</v>
      </c>
      <c r="K97" s="187">
        <v>20000</v>
      </c>
      <c r="L97" s="239"/>
      <c r="M97" s="587">
        <f t="shared" si="7"/>
        <v>20000</v>
      </c>
      <c r="N97" s="596"/>
    </row>
    <row r="98" spans="1:14" ht="33.950000000000003">
      <c r="A98" s="686"/>
      <c r="B98" s="173" t="s">
        <v>3</v>
      </c>
      <c r="C98" s="163" t="s">
        <v>171</v>
      </c>
      <c r="D98" s="164"/>
      <c r="E98" s="164"/>
      <c r="F98" s="164"/>
      <c r="G98" s="165"/>
      <c r="H98" s="166">
        <v>10000</v>
      </c>
      <c r="I98" s="166">
        <v>10000</v>
      </c>
      <c r="J98" s="166">
        <v>10000</v>
      </c>
      <c r="K98" s="187">
        <v>20000</v>
      </c>
      <c r="L98" s="240"/>
      <c r="M98" s="587">
        <f t="shared" si="7"/>
        <v>20000</v>
      </c>
      <c r="N98" s="596"/>
    </row>
    <row r="99" spans="1:14" ht="17.45" thickBot="1">
      <c r="A99" s="699"/>
      <c r="B99" s="173" t="s">
        <v>158</v>
      </c>
      <c r="C99" s="205" t="s">
        <v>9</v>
      </c>
      <c r="D99" s="193"/>
      <c r="E99" s="193"/>
      <c r="F99" s="193"/>
      <c r="G99" s="194"/>
      <c r="H99" s="195">
        <v>10000</v>
      </c>
      <c r="I99" s="195">
        <v>10000</v>
      </c>
      <c r="J99" s="195">
        <v>10000</v>
      </c>
      <c r="K99" s="243"/>
      <c r="L99" s="175">
        <v>75000</v>
      </c>
      <c r="M99" s="588">
        <f t="shared" si="7"/>
        <v>75000</v>
      </c>
      <c r="N99" s="597">
        <f>SUM(M96:M99)</f>
        <v>150000</v>
      </c>
    </row>
    <row r="100" spans="1:14" ht="17.45" thickBot="1">
      <c r="A100" s="244" t="s">
        <v>204</v>
      </c>
      <c r="B100" s="157"/>
      <c r="C100" s="234"/>
      <c r="D100" s="235"/>
      <c r="E100" s="235"/>
      <c r="F100" s="235"/>
      <c r="G100" s="236"/>
      <c r="H100" s="237"/>
      <c r="I100" s="235"/>
      <c r="J100" s="235"/>
      <c r="K100" s="182"/>
      <c r="L100" s="245"/>
      <c r="M100" s="585">
        <f t="shared" si="1"/>
        <v>0</v>
      </c>
      <c r="N100" s="599">
        <f>SUM(M101:M109)</f>
        <v>305000</v>
      </c>
    </row>
    <row r="101" spans="1:14" ht="17.100000000000001">
      <c r="A101" s="692" t="s">
        <v>205</v>
      </c>
      <c r="B101" s="162" t="s">
        <v>3</v>
      </c>
      <c r="C101" s="163" t="s">
        <v>4</v>
      </c>
      <c r="D101" s="164"/>
      <c r="E101" s="164">
        <v>10000</v>
      </c>
      <c r="F101" s="164">
        <v>10000</v>
      </c>
      <c r="G101" s="164">
        <v>10000</v>
      </c>
      <c r="H101" s="166">
        <v>20000</v>
      </c>
      <c r="I101" s="166">
        <v>20000</v>
      </c>
      <c r="J101" s="164">
        <v>40000</v>
      </c>
      <c r="K101" s="167">
        <v>15000</v>
      </c>
      <c r="L101" s="246"/>
      <c r="M101" s="591">
        <f t="shared" si="7"/>
        <v>15000</v>
      </c>
      <c r="N101" s="596"/>
    </row>
    <row r="102" spans="1:14" ht="33.950000000000003">
      <c r="A102" s="686"/>
      <c r="B102" s="162" t="s">
        <v>3</v>
      </c>
      <c r="C102" s="163" t="s">
        <v>6</v>
      </c>
      <c r="D102" s="164"/>
      <c r="E102" s="164">
        <v>2000</v>
      </c>
      <c r="F102" s="164">
        <v>2000</v>
      </c>
      <c r="G102" s="164">
        <v>2000</v>
      </c>
      <c r="H102" s="166">
        <v>4000</v>
      </c>
      <c r="I102" s="166">
        <v>4000</v>
      </c>
      <c r="J102" s="166">
        <v>4000</v>
      </c>
      <c r="K102" s="170">
        <v>7500</v>
      </c>
      <c r="L102" s="247"/>
      <c r="M102" s="296">
        <f t="shared" si="7"/>
        <v>7500</v>
      </c>
      <c r="N102" s="596"/>
    </row>
    <row r="103" spans="1:14" ht="33.950000000000003">
      <c r="A103" s="686"/>
      <c r="B103" s="162" t="s">
        <v>3</v>
      </c>
      <c r="C103" s="163" t="s">
        <v>171</v>
      </c>
      <c r="D103" s="164"/>
      <c r="E103" s="164">
        <v>2000</v>
      </c>
      <c r="F103" s="164">
        <v>2000</v>
      </c>
      <c r="G103" s="164">
        <v>2000</v>
      </c>
      <c r="H103" s="166">
        <v>4000</v>
      </c>
      <c r="I103" s="166">
        <v>4000</v>
      </c>
      <c r="J103" s="166">
        <v>4000</v>
      </c>
      <c r="K103" s="170">
        <v>10000</v>
      </c>
      <c r="L103" s="247"/>
      <c r="M103" s="296">
        <f t="shared" si="7"/>
        <v>10000</v>
      </c>
      <c r="N103" s="596"/>
    </row>
    <row r="104" spans="1:14" ht="17.100000000000001">
      <c r="A104" s="687"/>
      <c r="B104" s="173" t="s">
        <v>158</v>
      </c>
      <c r="C104" s="232" t="s">
        <v>9</v>
      </c>
      <c r="D104" s="164"/>
      <c r="E104" s="164">
        <v>5000</v>
      </c>
      <c r="F104" s="164">
        <v>5000</v>
      </c>
      <c r="G104" s="165">
        <v>5000</v>
      </c>
      <c r="H104" s="166">
        <v>7500</v>
      </c>
      <c r="I104" s="164">
        <v>7500</v>
      </c>
      <c r="J104" s="164">
        <v>10000</v>
      </c>
      <c r="K104" s="170"/>
      <c r="L104" s="171">
        <v>97500</v>
      </c>
      <c r="M104" s="296">
        <f t="shared" si="7"/>
        <v>97500</v>
      </c>
      <c r="N104" s="597">
        <f>SUM(M101:M104)</f>
        <v>130000</v>
      </c>
    </row>
    <row r="105" spans="1:14" ht="17.100000000000001">
      <c r="A105" s="685" t="s">
        <v>206</v>
      </c>
      <c r="B105" s="162" t="s">
        <v>3</v>
      </c>
      <c r="C105" s="163" t="s">
        <v>4</v>
      </c>
      <c r="D105" s="164"/>
      <c r="E105" s="164"/>
      <c r="F105" s="164"/>
      <c r="G105" s="165"/>
      <c r="H105" s="166">
        <v>5000</v>
      </c>
      <c r="I105" s="164"/>
      <c r="J105" s="164"/>
      <c r="K105" s="170">
        <v>25000</v>
      </c>
      <c r="L105" s="171"/>
      <c r="M105" s="296">
        <f t="shared" si="7"/>
        <v>25000</v>
      </c>
      <c r="N105" s="596"/>
    </row>
    <row r="106" spans="1:14" ht="17.100000000000001">
      <c r="A106" s="686"/>
      <c r="B106" s="173" t="s">
        <v>3</v>
      </c>
      <c r="C106" s="172" t="s">
        <v>10</v>
      </c>
      <c r="D106" s="164"/>
      <c r="E106" s="164"/>
      <c r="F106" s="164"/>
      <c r="G106" s="165"/>
      <c r="H106" s="166">
        <v>20000</v>
      </c>
      <c r="I106" s="164"/>
      <c r="J106" s="164"/>
      <c r="K106" s="170">
        <v>40000</v>
      </c>
      <c r="L106" s="171"/>
      <c r="M106" s="296">
        <f t="shared" si="7"/>
        <v>40000</v>
      </c>
      <c r="N106" s="596"/>
    </row>
    <row r="107" spans="1:14" ht="33.950000000000003">
      <c r="A107" s="686"/>
      <c r="B107" s="173" t="s">
        <v>3</v>
      </c>
      <c r="C107" s="248" t="s">
        <v>6</v>
      </c>
      <c r="D107" s="164"/>
      <c r="E107" s="164"/>
      <c r="F107" s="164"/>
      <c r="G107" s="165"/>
      <c r="H107" s="166"/>
      <c r="I107" s="164"/>
      <c r="J107" s="164"/>
      <c r="K107" s="170">
        <v>12500</v>
      </c>
      <c r="L107" s="171"/>
      <c r="M107" s="296">
        <f t="shared" si="7"/>
        <v>12500</v>
      </c>
      <c r="N107" s="596"/>
    </row>
    <row r="108" spans="1:14" ht="33.950000000000003">
      <c r="A108" s="686"/>
      <c r="B108" s="162" t="s">
        <v>3</v>
      </c>
      <c r="C108" s="163" t="s">
        <v>171</v>
      </c>
      <c r="D108" s="164"/>
      <c r="E108" s="164"/>
      <c r="F108" s="164"/>
      <c r="G108" s="165"/>
      <c r="H108" s="166">
        <v>5000</v>
      </c>
      <c r="I108" s="164"/>
      <c r="J108" s="164"/>
      <c r="K108" s="170">
        <v>10000</v>
      </c>
      <c r="L108" s="171"/>
      <c r="M108" s="296">
        <f t="shared" si="7"/>
        <v>10000</v>
      </c>
      <c r="N108" s="596"/>
    </row>
    <row r="109" spans="1:14" ht="17.45" thickBot="1">
      <c r="A109" s="687"/>
      <c r="B109" s="173" t="s">
        <v>158</v>
      </c>
      <c r="C109" s="232" t="s">
        <v>9</v>
      </c>
      <c r="D109" s="164"/>
      <c r="E109" s="164"/>
      <c r="F109" s="164"/>
      <c r="G109" s="165"/>
      <c r="H109" s="166">
        <v>2000</v>
      </c>
      <c r="I109" s="164"/>
      <c r="J109" s="164"/>
      <c r="K109" s="174"/>
      <c r="L109" s="175">
        <v>87500</v>
      </c>
      <c r="M109" s="592">
        <f t="shared" si="7"/>
        <v>87500</v>
      </c>
      <c r="N109" s="597">
        <f>SUM(M105:M109)</f>
        <v>175000</v>
      </c>
    </row>
    <row r="110" spans="1:14" ht="17.45" thickBot="1">
      <c r="A110" s="198" t="s">
        <v>207</v>
      </c>
      <c r="B110" s="157"/>
      <c r="C110" s="234"/>
      <c r="D110" s="235"/>
      <c r="E110" s="235"/>
      <c r="F110" s="235"/>
      <c r="G110" s="236"/>
      <c r="H110" s="237"/>
      <c r="I110" s="235"/>
      <c r="J110" s="235"/>
      <c r="K110" s="182"/>
      <c r="L110" s="245"/>
      <c r="M110" s="585">
        <f t="shared" si="1"/>
        <v>0</v>
      </c>
      <c r="N110" s="599">
        <f>SUM(M111:M118)</f>
        <v>250000</v>
      </c>
    </row>
    <row r="111" spans="1:14" ht="17.100000000000001">
      <c r="A111" s="692" t="s">
        <v>208</v>
      </c>
      <c r="B111" s="162" t="s">
        <v>3</v>
      </c>
      <c r="C111" s="163" t="s">
        <v>10</v>
      </c>
      <c r="D111" s="164"/>
      <c r="E111" s="166">
        <v>10000</v>
      </c>
      <c r="F111" s="164"/>
      <c r="G111" s="165"/>
      <c r="H111" s="166"/>
      <c r="I111" s="164"/>
      <c r="J111" s="164"/>
      <c r="K111" s="185">
        <v>25000</v>
      </c>
      <c r="L111" s="186"/>
      <c r="M111" s="591">
        <f t="shared" si="7"/>
        <v>25000</v>
      </c>
      <c r="N111" s="596"/>
    </row>
    <row r="112" spans="1:14" ht="33.950000000000003">
      <c r="A112" s="686"/>
      <c r="B112" s="173" t="s">
        <v>3</v>
      </c>
      <c r="C112" s="172" t="s">
        <v>171</v>
      </c>
      <c r="D112" s="164"/>
      <c r="E112" s="166">
        <v>30000</v>
      </c>
      <c r="F112" s="164"/>
      <c r="G112" s="165"/>
      <c r="H112" s="166"/>
      <c r="I112" s="164"/>
      <c r="J112" s="164"/>
      <c r="K112" s="238">
        <v>2500</v>
      </c>
      <c r="L112" s="240"/>
      <c r="M112" s="296">
        <f t="shared" si="7"/>
        <v>2500</v>
      </c>
      <c r="N112" s="596"/>
    </row>
    <row r="113" spans="1:16" ht="33.950000000000003">
      <c r="A113" s="686"/>
      <c r="B113" s="162" t="s">
        <v>3</v>
      </c>
      <c r="C113" s="163" t="s">
        <v>6</v>
      </c>
      <c r="D113" s="164"/>
      <c r="E113" s="166">
        <v>10000</v>
      </c>
      <c r="F113" s="164"/>
      <c r="G113" s="165"/>
      <c r="H113" s="166"/>
      <c r="I113" s="164"/>
      <c r="J113" s="164"/>
      <c r="K113" s="170">
        <v>2500</v>
      </c>
      <c r="L113" s="247"/>
      <c r="M113" s="296">
        <f t="shared" si="7"/>
        <v>2500</v>
      </c>
      <c r="N113" s="596"/>
    </row>
    <row r="114" spans="1:16" ht="17.100000000000001">
      <c r="A114" s="687"/>
      <c r="B114" s="173" t="s">
        <v>158</v>
      </c>
      <c r="C114" s="232" t="s">
        <v>9</v>
      </c>
      <c r="D114" s="164"/>
      <c r="E114" s="166">
        <v>10000</v>
      </c>
      <c r="F114" s="164"/>
      <c r="G114" s="165"/>
      <c r="H114" s="166"/>
      <c r="I114" s="164"/>
      <c r="J114" s="164"/>
      <c r="K114" s="170"/>
      <c r="L114" s="171">
        <v>70000</v>
      </c>
      <c r="M114" s="296">
        <f t="shared" si="7"/>
        <v>70000</v>
      </c>
      <c r="N114" s="597">
        <f>SUM(M111:M114)</f>
        <v>100000</v>
      </c>
    </row>
    <row r="115" spans="1:16" ht="17.100000000000001">
      <c r="A115" s="685" t="s">
        <v>209</v>
      </c>
      <c r="B115" s="162" t="s">
        <v>3</v>
      </c>
      <c r="C115" s="163" t="s">
        <v>10</v>
      </c>
      <c r="D115" s="164"/>
      <c r="E115" s="166"/>
      <c r="F115" s="166">
        <v>5000</v>
      </c>
      <c r="G115" s="166">
        <v>5000</v>
      </c>
      <c r="H115" s="166"/>
      <c r="I115" s="164"/>
      <c r="J115" s="164"/>
      <c r="K115" s="170">
        <v>15000</v>
      </c>
      <c r="L115" s="247"/>
      <c r="M115" s="296">
        <f t="shared" si="7"/>
        <v>15000</v>
      </c>
      <c r="N115" s="596"/>
    </row>
    <row r="116" spans="1:16" ht="17.100000000000001">
      <c r="A116" s="686"/>
      <c r="B116" s="173" t="s">
        <v>158</v>
      </c>
      <c r="C116" s="172" t="s">
        <v>9</v>
      </c>
      <c r="D116" s="164"/>
      <c r="E116" s="166"/>
      <c r="F116" s="166">
        <v>20000</v>
      </c>
      <c r="G116" s="166">
        <v>20000</v>
      </c>
      <c r="H116" s="166"/>
      <c r="I116" s="164"/>
      <c r="J116" s="164"/>
      <c r="K116" s="249"/>
      <c r="L116" s="171">
        <v>35000</v>
      </c>
      <c r="M116" s="296">
        <f t="shared" si="7"/>
        <v>35000</v>
      </c>
      <c r="N116" s="597">
        <f>SUM(M115:M116)</f>
        <v>50000</v>
      </c>
    </row>
    <row r="117" spans="1:16" ht="17.100000000000001">
      <c r="A117" s="685" t="s">
        <v>210</v>
      </c>
      <c r="B117" s="162" t="s">
        <v>3</v>
      </c>
      <c r="C117" s="163" t="s">
        <v>10</v>
      </c>
      <c r="D117" s="164"/>
      <c r="E117" s="164"/>
      <c r="F117" s="164"/>
      <c r="G117" s="165">
        <v>20000</v>
      </c>
      <c r="H117" s="165">
        <v>20000</v>
      </c>
      <c r="I117" s="165">
        <v>20000</v>
      </c>
      <c r="J117" s="164">
        <v>20000</v>
      </c>
      <c r="K117" s="187">
        <v>30000</v>
      </c>
      <c r="L117" s="190"/>
      <c r="M117" s="296">
        <f t="shared" si="7"/>
        <v>30000</v>
      </c>
      <c r="N117" s="596"/>
    </row>
    <row r="118" spans="1:16" ht="17.45" thickBot="1">
      <c r="A118" s="699"/>
      <c r="B118" s="250" t="s">
        <v>158</v>
      </c>
      <c r="C118" s="251" t="s">
        <v>9</v>
      </c>
      <c r="D118" s="252"/>
      <c r="E118" s="252"/>
      <c r="F118" s="252"/>
      <c r="G118" s="253">
        <v>20000</v>
      </c>
      <c r="H118" s="253">
        <v>20000</v>
      </c>
      <c r="I118" s="253">
        <v>20000</v>
      </c>
      <c r="J118" s="253">
        <v>20000</v>
      </c>
      <c r="K118" s="196"/>
      <c r="L118" s="197">
        <v>70000</v>
      </c>
      <c r="M118" s="592">
        <f t="shared" si="7"/>
        <v>70000</v>
      </c>
      <c r="N118" s="597">
        <f>SUM(M117:M118)</f>
        <v>100000</v>
      </c>
    </row>
    <row r="119" spans="1:16" ht="17.45" thickBot="1">
      <c r="A119" s="254" t="s">
        <v>211</v>
      </c>
      <c r="B119" s="255"/>
      <c r="C119" s="256"/>
      <c r="D119" s="257"/>
      <c r="E119" s="257"/>
      <c r="F119" s="257"/>
      <c r="G119" s="257"/>
      <c r="H119" s="257"/>
      <c r="I119" s="257"/>
      <c r="J119" s="257"/>
      <c r="K119" s="258">
        <v>2817801.2726090001</v>
      </c>
      <c r="L119" s="258">
        <v>43227925.525375009</v>
      </c>
      <c r="M119" s="593">
        <f>SUM(M2:M118)</f>
        <v>46045726.797984004</v>
      </c>
      <c r="N119" s="596"/>
    </row>
    <row r="120" spans="1:16" ht="17.45" thickBot="1">
      <c r="A120" s="259" t="s">
        <v>212</v>
      </c>
      <c r="B120" s="260"/>
      <c r="C120" s="260"/>
      <c r="D120" s="261"/>
      <c r="E120" s="261"/>
      <c r="F120" s="261"/>
      <c r="G120" s="261"/>
      <c r="H120" s="261"/>
      <c r="I120" s="261"/>
      <c r="J120" s="262"/>
      <c r="K120" s="263"/>
      <c r="L120" s="264"/>
      <c r="M120" s="594"/>
      <c r="N120" s="599">
        <f>SUM(M121:M126)</f>
        <v>3937048.17</v>
      </c>
    </row>
    <row r="121" spans="1:16" ht="33.950000000000003">
      <c r="A121" s="700" t="s">
        <v>213</v>
      </c>
      <c r="B121" s="265" t="s">
        <v>3</v>
      </c>
      <c r="C121" s="266" t="s">
        <v>214</v>
      </c>
      <c r="D121" s="267">
        <v>20000</v>
      </c>
      <c r="E121" s="268">
        <v>10000</v>
      </c>
      <c r="F121" s="268">
        <v>10000</v>
      </c>
      <c r="G121" s="268">
        <v>10000</v>
      </c>
      <c r="H121" s="268">
        <v>10000</v>
      </c>
      <c r="I121" s="268">
        <v>10000</v>
      </c>
      <c r="J121" s="269">
        <v>20000</v>
      </c>
      <c r="K121" s="270">
        <v>175000</v>
      </c>
      <c r="L121" s="271"/>
      <c r="M121" s="591">
        <f t="shared" ref="M121:M126" si="8">SUM(K121:L121)</f>
        <v>175000</v>
      </c>
      <c r="N121" s="596"/>
    </row>
    <row r="122" spans="1:16" ht="17.45" thickBot="1">
      <c r="A122" s="701"/>
      <c r="B122" s="272" t="s">
        <v>158</v>
      </c>
      <c r="C122" s="273" t="s">
        <v>9</v>
      </c>
      <c r="D122" s="274">
        <v>150000</v>
      </c>
      <c r="E122" s="275">
        <v>150000</v>
      </c>
      <c r="F122" s="275">
        <v>150000</v>
      </c>
      <c r="G122" s="275">
        <v>150000</v>
      </c>
      <c r="H122" s="275">
        <v>150000</v>
      </c>
      <c r="I122" s="275">
        <v>150000</v>
      </c>
      <c r="J122" s="276">
        <v>250000</v>
      </c>
      <c r="K122" s="277"/>
      <c r="L122" s="278">
        <v>175000</v>
      </c>
      <c r="M122" s="296">
        <f t="shared" si="8"/>
        <v>175000</v>
      </c>
      <c r="N122" s="597">
        <f>SUM(M121:M122)</f>
        <v>350000</v>
      </c>
    </row>
    <row r="123" spans="1:16" ht="33.950000000000003">
      <c r="A123" s="693" t="s">
        <v>215</v>
      </c>
      <c r="B123" s="279" t="s">
        <v>3</v>
      </c>
      <c r="C123" s="280" t="s">
        <v>214</v>
      </c>
      <c r="D123" s="268">
        <v>20000</v>
      </c>
      <c r="E123" s="268">
        <v>10000</v>
      </c>
      <c r="F123" s="268">
        <v>10000</v>
      </c>
      <c r="G123" s="268">
        <v>10000</v>
      </c>
      <c r="H123" s="268">
        <v>10000</v>
      </c>
      <c r="I123" s="268">
        <v>10000</v>
      </c>
      <c r="J123" s="269">
        <v>20000</v>
      </c>
      <c r="K123" s="277">
        <v>670744.12</v>
      </c>
      <c r="L123" s="278"/>
      <c r="M123" s="296">
        <f t="shared" si="8"/>
        <v>670744.12</v>
      </c>
      <c r="N123" s="596"/>
    </row>
    <row r="124" spans="1:16" ht="17.100000000000001">
      <c r="A124" s="694"/>
      <c r="B124" s="281" t="s">
        <v>158</v>
      </c>
      <c r="C124" s="282" t="s">
        <v>9</v>
      </c>
      <c r="D124" s="275">
        <v>150000</v>
      </c>
      <c r="E124" s="275">
        <v>150000</v>
      </c>
      <c r="F124" s="275">
        <v>150000</v>
      </c>
      <c r="G124" s="275">
        <v>150000</v>
      </c>
      <c r="H124" s="275">
        <v>150000</v>
      </c>
      <c r="I124" s="275">
        <v>150000</v>
      </c>
      <c r="J124" s="276">
        <v>250000</v>
      </c>
      <c r="K124" s="277"/>
      <c r="L124" s="278">
        <v>417148.2</v>
      </c>
      <c r="M124" s="296">
        <f t="shared" si="8"/>
        <v>417148.2</v>
      </c>
      <c r="N124" s="597">
        <f>SUM(M123:M124)</f>
        <v>1087892.32</v>
      </c>
    </row>
    <row r="125" spans="1:16" ht="33.950000000000003">
      <c r="A125" s="695" t="s">
        <v>216</v>
      </c>
      <c r="B125" s="281" t="s">
        <v>3</v>
      </c>
      <c r="C125" s="282" t="s">
        <v>214</v>
      </c>
      <c r="D125" s="275">
        <v>25000</v>
      </c>
      <c r="E125" s="275">
        <v>25000</v>
      </c>
      <c r="F125" s="275">
        <v>25000</v>
      </c>
      <c r="G125" s="275">
        <v>25000</v>
      </c>
      <c r="H125" s="275">
        <v>25000</v>
      </c>
      <c r="I125" s="275">
        <v>25000</v>
      </c>
      <c r="J125" s="276">
        <v>35000</v>
      </c>
      <c r="K125" s="170">
        <v>1324552.6000000001</v>
      </c>
      <c r="L125" s="171"/>
      <c r="M125" s="296">
        <f t="shared" si="8"/>
        <v>1324552.6000000001</v>
      </c>
      <c r="N125" s="596"/>
      <c r="O125" s="377"/>
      <c r="P125" s="377"/>
    </row>
    <row r="126" spans="1:16" ht="17.45" thickBot="1">
      <c r="A126" s="696"/>
      <c r="B126" s="283" t="s">
        <v>158</v>
      </c>
      <c r="C126" s="284" t="s">
        <v>9</v>
      </c>
      <c r="D126" s="285">
        <v>400000</v>
      </c>
      <c r="E126" s="285">
        <v>500000</v>
      </c>
      <c r="F126" s="285">
        <v>500000</v>
      </c>
      <c r="G126" s="285">
        <v>500000</v>
      </c>
      <c r="H126" s="285">
        <v>500000</v>
      </c>
      <c r="I126" s="285">
        <v>500000</v>
      </c>
      <c r="J126" s="286">
        <v>550000</v>
      </c>
      <c r="K126" s="174"/>
      <c r="L126" s="175">
        <v>1174603.25</v>
      </c>
      <c r="M126" s="592">
        <f t="shared" si="8"/>
        <v>1174603.25</v>
      </c>
      <c r="N126" s="602">
        <f>SUM(M125:M126)</f>
        <v>2499155.85</v>
      </c>
    </row>
    <row r="127" spans="1:16" ht="17.100000000000001">
      <c r="A127" s="272"/>
      <c r="B127" s="272"/>
      <c r="C127" s="272"/>
      <c r="D127" s="287"/>
      <c r="E127" s="287"/>
      <c r="F127" s="287"/>
      <c r="G127" s="287"/>
      <c r="H127" s="287"/>
      <c r="I127" s="287"/>
      <c r="J127" s="288"/>
      <c r="K127" s="289"/>
      <c r="L127" s="242"/>
      <c r="M127" s="290"/>
    </row>
    <row r="128" spans="1:16" ht="17.45" thickBot="1">
      <c r="A128" s="272"/>
      <c r="B128" s="272"/>
      <c r="C128" s="272"/>
      <c r="D128" s="287"/>
      <c r="E128" s="287"/>
      <c r="F128" s="287"/>
      <c r="G128" s="287"/>
      <c r="H128" s="287"/>
      <c r="I128" s="287"/>
      <c r="J128" s="291" t="s">
        <v>129</v>
      </c>
      <c r="K128" s="292">
        <f>SUM(K121:K126)+K119</f>
        <v>4988097.9926089998</v>
      </c>
      <c r="L128" s="293">
        <f>SUM(L121:L126)+L119</f>
        <v>44994676.975375012</v>
      </c>
      <c r="M128" s="294">
        <f>SUM(M121:M126)+M119</f>
        <v>49982774.967984006</v>
      </c>
    </row>
    <row r="129" spans="1:13" ht="17.100000000000001">
      <c r="A129" s="272"/>
      <c r="B129" s="272"/>
      <c r="C129" s="272"/>
      <c r="D129" s="287"/>
      <c r="E129" s="287"/>
      <c r="F129" s="287"/>
      <c r="G129" s="287"/>
      <c r="H129" s="287"/>
      <c r="I129" s="287"/>
      <c r="J129" s="291"/>
      <c r="K129" s="295"/>
      <c r="L129" s="295"/>
      <c r="M129" s="296"/>
    </row>
    <row r="130" spans="1:13">
      <c r="L130" s="83"/>
    </row>
    <row r="132" spans="1:13">
      <c r="K132" s="83"/>
    </row>
  </sheetData>
  <autoFilter ref="C1:C132" xr:uid="{FACAE98B-AE0A-494A-B1D0-8491B6E3F488}"/>
  <mergeCells count="39">
    <mergeCell ref="A92:A95"/>
    <mergeCell ref="A96:A99"/>
    <mergeCell ref="A70:A72"/>
    <mergeCell ref="A73:A74"/>
    <mergeCell ref="N1:N2"/>
    <mergeCell ref="A19:A21"/>
    <mergeCell ref="A22:A25"/>
    <mergeCell ref="A26:A29"/>
    <mergeCell ref="A31:A33"/>
    <mergeCell ref="A34:A36"/>
    <mergeCell ref="A37:A40"/>
    <mergeCell ref="A41:A44"/>
    <mergeCell ref="A46:A50"/>
    <mergeCell ref="A51:A55"/>
    <mergeCell ref="A56:A59"/>
    <mergeCell ref="A62:A63"/>
    <mergeCell ref="A123:A124"/>
    <mergeCell ref="A125:A126"/>
    <mergeCell ref="M1:M2"/>
    <mergeCell ref="A101:A104"/>
    <mergeCell ref="A105:A109"/>
    <mergeCell ref="A111:A114"/>
    <mergeCell ref="A115:A116"/>
    <mergeCell ref="A117:A118"/>
    <mergeCell ref="A121:A122"/>
    <mergeCell ref="A80:A84"/>
    <mergeCell ref="A85:A86"/>
    <mergeCell ref="A88:A89"/>
    <mergeCell ref="A90:A91"/>
    <mergeCell ref="A76:A79"/>
    <mergeCell ref="A60:A61"/>
    <mergeCell ref="A15:A18"/>
    <mergeCell ref="A64:J64"/>
    <mergeCell ref="A66:A69"/>
    <mergeCell ref="A11:A13"/>
    <mergeCell ref="D1:J1"/>
    <mergeCell ref="A3:J3"/>
    <mergeCell ref="A5:A7"/>
    <mergeCell ref="A8:A1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578726-B03D-403F-9962-E7FBC884550B}">
  <dimension ref="A1:H29"/>
  <sheetViews>
    <sheetView workbookViewId="0">
      <selection activeCell="L14" sqref="L14"/>
    </sheetView>
  </sheetViews>
  <sheetFormatPr defaultColWidth="8.85546875" defaultRowHeight="14.45"/>
  <cols>
    <col min="2" max="2" width="60.42578125" customWidth="1"/>
    <col min="5" max="5" width="17.42578125" customWidth="1"/>
    <col min="6" max="6" width="20.140625" customWidth="1"/>
  </cols>
  <sheetData>
    <row r="1" spans="1:6" ht="16.5" thickBot="1">
      <c r="A1" s="500" t="s">
        <v>217</v>
      </c>
      <c r="B1" s="501"/>
      <c r="C1" s="502"/>
      <c r="D1" s="502"/>
      <c r="E1" s="503"/>
      <c r="F1" s="504"/>
    </row>
    <row r="2" spans="1:6" ht="14.1" customHeight="1">
      <c r="A2" s="496" t="s">
        <v>218</v>
      </c>
      <c r="B2" s="497" t="s">
        <v>219</v>
      </c>
      <c r="C2" s="497" t="s">
        <v>220</v>
      </c>
      <c r="D2" s="497" t="s">
        <v>221</v>
      </c>
      <c r="E2" s="498" t="s">
        <v>222</v>
      </c>
      <c r="F2" s="499" t="s">
        <v>223</v>
      </c>
    </row>
    <row r="3" spans="1:6" ht="14.1" customHeight="1">
      <c r="A3" s="2">
        <v>1</v>
      </c>
      <c r="B3" s="3" t="s">
        <v>224</v>
      </c>
      <c r="C3" s="3"/>
      <c r="D3" s="5"/>
      <c r="E3" s="7"/>
      <c r="F3" s="14"/>
    </row>
    <row r="4" spans="1:6" ht="14.1" customHeight="1">
      <c r="A4" s="8" t="s">
        <v>225</v>
      </c>
      <c r="B4" s="5" t="s">
        <v>226</v>
      </c>
      <c r="C4" s="9" t="s">
        <v>227</v>
      </c>
      <c r="D4" s="9">
        <v>2</v>
      </c>
      <c r="E4" s="10">
        <v>4183.1249999999991</v>
      </c>
      <c r="F4" s="14">
        <v>8366.2499999999982</v>
      </c>
    </row>
    <row r="5" spans="1:6" ht="14.1" customHeight="1">
      <c r="A5" s="6">
        <v>1.2</v>
      </c>
      <c r="B5" s="5" t="s">
        <v>228</v>
      </c>
      <c r="C5" s="9" t="s">
        <v>227</v>
      </c>
      <c r="D5" s="9">
        <v>96</v>
      </c>
      <c r="E5" s="10">
        <v>2250</v>
      </c>
      <c r="F5" s="14">
        <v>216000</v>
      </c>
    </row>
    <row r="6" spans="1:6" ht="14.1" customHeight="1">
      <c r="A6" s="6">
        <v>1.3</v>
      </c>
      <c r="B6" s="5" t="s">
        <v>229</v>
      </c>
      <c r="C6" s="9" t="s">
        <v>227</v>
      </c>
      <c r="D6" s="9">
        <v>2</v>
      </c>
      <c r="E6" s="10">
        <v>3213.125</v>
      </c>
      <c r="F6" s="14">
        <v>6426.25</v>
      </c>
    </row>
    <row r="7" spans="1:6" ht="14.1" customHeight="1">
      <c r="A7" s="481"/>
      <c r="B7" s="482" t="s">
        <v>211</v>
      </c>
      <c r="C7" s="483"/>
      <c r="D7" s="483"/>
      <c r="E7" s="484">
        <v>0</v>
      </c>
      <c r="F7" s="485">
        <v>230792.5</v>
      </c>
    </row>
    <row r="8" spans="1:6" ht="14.1" customHeight="1">
      <c r="A8" s="2">
        <v>2</v>
      </c>
      <c r="B8" s="3" t="s">
        <v>230</v>
      </c>
      <c r="C8" s="9"/>
      <c r="D8" s="9"/>
      <c r="E8" s="10">
        <v>0</v>
      </c>
      <c r="F8" s="14"/>
    </row>
    <row r="9" spans="1:6" ht="14.1" customHeight="1">
      <c r="A9" s="6">
        <v>2.2000000000000002</v>
      </c>
      <c r="B9" s="5" t="s">
        <v>231</v>
      </c>
      <c r="C9" s="9" t="s">
        <v>232</v>
      </c>
      <c r="D9" s="9">
        <v>1000</v>
      </c>
      <c r="E9" s="10">
        <v>186.72499999999997</v>
      </c>
      <c r="F9" s="14">
        <v>186724.99999999997</v>
      </c>
    </row>
    <row r="10" spans="1:6" ht="14.1" customHeight="1">
      <c r="A10" s="6">
        <v>2.2999999999999998</v>
      </c>
      <c r="B10" s="5" t="s">
        <v>233</v>
      </c>
      <c r="C10" s="9" t="s">
        <v>232</v>
      </c>
      <c r="D10" s="9">
        <v>1500</v>
      </c>
      <c r="E10" s="10">
        <v>200.0625</v>
      </c>
      <c r="F10" s="14">
        <v>300093.75</v>
      </c>
    </row>
    <row r="11" spans="1:6" ht="14.1" customHeight="1">
      <c r="A11" s="6">
        <v>2.4</v>
      </c>
      <c r="B11" s="5" t="s">
        <v>234</v>
      </c>
      <c r="C11" s="9" t="s">
        <v>232</v>
      </c>
      <c r="D11" s="9"/>
      <c r="E11" s="10">
        <v>181.87499999999997</v>
      </c>
      <c r="F11" s="14">
        <v>0</v>
      </c>
    </row>
    <row r="12" spans="1:6" ht="14.1" customHeight="1">
      <c r="A12" s="6">
        <v>2.5</v>
      </c>
      <c r="B12" s="5" t="s">
        <v>235</v>
      </c>
      <c r="C12" s="9" t="s">
        <v>236</v>
      </c>
      <c r="D12" s="9">
        <v>100</v>
      </c>
      <c r="E12" s="10">
        <v>2546.25</v>
      </c>
      <c r="F12" s="14">
        <v>254625</v>
      </c>
    </row>
    <row r="13" spans="1:6" ht="14.1" customHeight="1">
      <c r="A13" s="481"/>
      <c r="B13" s="482" t="s">
        <v>211</v>
      </c>
      <c r="C13" s="486"/>
      <c r="D13" s="486"/>
      <c r="E13" s="487">
        <v>0</v>
      </c>
      <c r="F13" s="485">
        <v>741443.75</v>
      </c>
    </row>
    <row r="14" spans="1:6" ht="14.1" customHeight="1">
      <c r="A14" s="2">
        <v>3</v>
      </c>
      <c r="B14" s="3" t="s">
        <v>237</v>
      </c>
      <c r="C14" s="4"/>
      <c r="D14" s="4"/>
      <c r="E14" s="10">
        <v>0</v>
      </c>
      <c r="F14" s="14"/>
    </row>
    <row r="15" spans="1:6" ht="14.1" customHeight="1">
      <c r="A15" s="6"/>
      <c r="B15" s="5" t="s">
        <v>238</v>
      </c>
      <c r="C15" s="4"/>
      <c r="D15" s="4">
        <v>100</v>
      </c>
      <c r="E15" s="10">
        <v>2243.125</v>
      </c>
      <c r="F15" s="14">
        <v>224312.5</v>
      </c>
    </row>
    <row r="16" spans="1:6" ht="14.1" customHeight="1">
      <c r="A16" s="481"/>
      <c r="B16" s="482" t="s">
        <v>211</v>
      </c>
      <c r="C16" s="488"/>
      <c r="D16" s="488"/>
      <c r="E16" s="487">
        <v>0</v>
      </c>
      <c r="F16" s="485">
        <v>224312.5</v>
      </c>
    </row>
    <row r="17" spans="1:8" ht="14.1" customHeight="1">
      <c r="A17" s="2">
        <v>4</v>
      </c>
      <c r="B17" s="3" t="s">
        <v>239</v>
      </c>
      <c r="C17" s="4"/>
      <c r="D17" s="4"/>
      <c r="E17" s="10">
        <v>0</v>
      </c>
      <c r="F17" s="14"/>
      <c r="G17" s="1"/>
      <c r="H17" s="1"/>
    </row>
    <row r="18" spans="1:8" ht="14.1" customHeight="1">
      <c r="A18" s="6">
        <v>4.0999999999999996</v>
      </c>
      <c r="B18" s="5" t="s">
        <v>240</v>
      </c>
      <c r="C18" s="5" t="s">
        <v>241</v>
      </c>
      <c r="D18" s="5">
        <v>200</v>
      </c>
      <c r="E18" s="10">
        <v>103.06250000000001</v>
      </c>
      <c r="F18" s="14">
        <v>20612.500000000004</v>
      </c>
      <c r="G18" s="1"/>
      <c r="H18" s="1"/>
    </row>
    <row r="19" spans="1:8" ht="14.1" customHeight="1">
      <c r="A19" s="6">
        <v>4.2</v>
      </c>
      <c r="B19" s="5" t="s">
        <v>242</v>
      </c>
      <c r="C19" s="5" t="s">
        <v>241</v>
      </c>
      <c r="D19" s="5">
        <v>800</v>
      </c>
      <c r="E19" s="10">
        <v>185.51249999999999</v>
      </c>
      <c r="F19" s="14">
        <v>148410</v>
      </c>
      <c r="G19" s="1"/>
      <c r="H19" s="1"/>
    </row>
    <row r="20" spans="1:8" ht="30">
      <c r="A20" s="6">
        <v>4.3</v>
      </c>
      <c r="B20" s="5" t="s">
        <v>243</v>
      </c>
      <c r="C20" s="5" t="s">
        <v>241</v>
      </c>
      <c r="D20" s="5">
        <v>2400</v>
      </c>
      <c r="E20" s="10">
        <v>209.15625</v>
      </c>
      <c r="F20" s="14">
        <v>501975</v>
      </c>
      <c r="G20" s="1"/>
      <c r="H20" s="1"/>
    </row>
    <row r="21" spans="1:8" ht="14.1" customHeight="1">
      <c r="A21" s="6">
        <v>4.4000000000000004</v>
      </c>
      <c r="B21" s="5" t="s">
        <v>244</v>
      </c>
      <c r="C21" s="5" t="s">
        <v>241</v>
      </c>
      <c r="D21" s="5">
        <v>600</v>
      </c>
      <c r="E21" s="10">
        <v>54.5625</v>
      </c>
      <c r="F21" s="14">
        <v>32737.5</v>
      </c>
      <c r="G21" s="1"/>
      <c r="H21" s="1"/>
    </row>
    <row r="22" spans="1:8" ht="14.1" customHeight="1">
      <c r="A22" s="6">
        <v>4.5</v>
      </c>
      <c r="B22" s="5" t="s">
        <v>245</v>
      </c>
      <c r="C22" s="5" t="s">
        <v>246</v>
      </c>
      <c r="D22" s="5">
        <v>100</v>
      </c>
      <c r="E22" s="10">
        <v>12.125</v>
      </c>
      <c r="F22" s="14">
        <v>1212.5</v>
      </c>
      <c r="G22" s="1"/>
      <c r="H22" s="1"/>
    </row>
    <row r="23" spans="1:8" ht="14.1" customHeight="1" thickBot="1">
      <c r="A23" s="489"/>
      <c r="B23" s="482" t="s">
        <v>211</v>
      </c>
      <c r="C23" s="490"/>
      <c r="D23" s="490"/>
      <c r="E23" s="491">
        <v>0</v>
      </c>
      <c r="F23" s="492">
        <v>704947.5</v>
      </c>
      <c r="G23" s="1"/>
      <c r="H23" s="1"/>
    </row>
    <row r="24" spans="1:8" ht="14.1" customHeight="1" thickBot="1">
      <c r="A24" s="712"/>
      <c r="B24" s="713"/>
      <c r="C24" s="12"/>
      <c r="D24" s="12"/>
      <c r="E24" s="13"/>
      <c r="F24" s="15"/>
      <c r="G24" s="1"/>
      <c r="H24" s="11"/>
    </row>
    <row r="25" spans="1:8" ht="16.5" thickBot="1">
      <c r="A25" s="493"/>
      <c r="B25" s="387" t="s">
        <v>247</v>
      </c>
      <c r="C25" s="494"/>
      <c r="D25" s="494"/>
      <c r="E25" s="494"/>
      <c r="F25" s="495">
        <v>1901496.25</v>
      </c>
      <c r="G25" s="1"/>
      <c r="H25" s="11"/>
    </row>
    <row r="29" spans="1:8">
      <c r="F29" s="547"/>
    </row>
  </sheetData>
  <mergeCells count="1">
    <mergeCell ref="A24:B2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C71231-F214-4AA0-89FA-C3D173CF659F}">
  <dimension ref="A1:E347"/>
  <sheetViews>
    <sheetView workbookViewId="0">
      <selection activeCell="A343" sqref="A343"/>
    </sheetView>
  </sheetViews>
  <sheetFormatPr defaultColWidth="8.85546875" defaultRowHeight="14.45"/>
  <cols>
    <col min="1" max="1" width="66.140625" customWidth="1"/>
    <col min="2" max="2" width="12.85546875" customWidth="1"/>
    <col min="4" max="4" width="16.42578125" customWidth="1"/>
    <col min="5" max="5" width="24.42578125" customWidth="1"/>
  </cols>
  <sheetData>
    <row r="1" spans="1:5" ht="15">
      <c r="A1" s="432" t="s">
        <v>248</v>
      </c>
      <c r="B1" s="433" t="s">
        <v>249</v>
      </c>
      <c r="C1" s="433" t="s">
        <v>19</v>
      </c>
      <c r="D1" s="434" t="s">
        <v>250</v>
      </c>
      <c r="E1" s="435" t="s">
        <v>159</v>
      </c>
    </row>
    <row r="2" spans="1:5" ht="14.1" customHeight="1">
      <c r="A2" s="436" t="s">
        <v>251</v>
      </c>
      <c r="B2" s="437"/>
      <c r="C2" s="437"/>
      <c r="D2" s="438"/>
      <c r="E2" s="439"/>
    </row>
    <row r="3" spans="1:5" ht="14.1" customHeight="1">
      <c r="A3" s="440" t="s">
        <v>252</v>
      </c>
      <c r="B3" s="714">
        <v>1</v>
      </c>
      <c r="C3" s="714" t="s">
        <v>253</v>
      </c>
      <c r="D3" s="441">
        <v>2232.0427500000001</v>
      </c>
      <c r="E3" s="715">
        <v>2232.0427500000001</v>
      </c>
    </row>
    <row r="4" spans="1:5" ht="14.1" customHeight="1">
      <c r="A4" s="442" t="s">
        <v>254</v>
      </c>
      <c r="B4" s="714"/>
      <c r="C4" s="714"/>
      <c r="D4" s="441">
        <v>0</v>
      </c>
      <c r="E4" s="715"/>
    </row>
    <row r="5" spans="1:5" ht="14.1" customHeight="1">
      <c r="A5" s="442" t="s">
        <v>255</v>
      </c>
      <c r="B5" s="714"/>
      <c r="C5" s="714"/>
      <c r="D5" s="441">
        <v>0</v>
      </c>
      <c r="E5" s="715"/>
    </row>
    <row r="6" spans="1:5" ht="14.1" customHeight="1">
      <c r="A6" s="440" t="s">
        <v>256</v>
      </c>
      <c r="B6" s="714">
        <v>10</v>
      </c>
      <c r="C6" s="714" t="s">
        <v>253</v>
      </c>
      <c r="D6" s="441">
        <v>3736.0034999999998</v>
      </c>
      <c r="E6" s="715">
        <v>37360.034999999996</v>
      </c>
    </row>
    <row r="7" spans="1:5" ht="14.1" customHeight="1">
      <c r="A7" s="442" t="s">
        <v>257</v>
      </c>
      <c r="B7" s="714"/>
      <c r="C7" s="714"/>
      <c r="D7" s="441">
        <v>0</v>
      </c>
      <c r="E7" s="715"/>
    </row>
    <row r="8" spans="1:5" ht="14.1" customHeight="1">
      <c r="A8" s="442" t="s">
        <v>255</v>
      </c>
      <c r="B8" s="714"/>
      <c r="C8" s="714"/>
      <c r="D8" s="441">
        <v>0</v>
      </c>
      <c r="E8" s="715"/>
    </row>
    <row r="9" spans="1:5" ht="14.1" customHeight="1">
      <c r="A9" s="440" t="s">
        <v>258</v>
      </c>
      <c r="B9" s="714">
        <v>8</v>
      </c>
      <c r="C9" s="714" t="s">
        <v>253</v>
      </c>
      <c r="D9" s="441">
        <v>3688.8614999999995</v>
      </c>
      <c r="E9" s="715">
        <v>29510.891999999996</v>
      </c>
    </row>
    <row r="10" spans="1:5" ht="14.1" customHeight="1">
      <c r="A10" s="442" t="s">
        <v>259</v>
      </c>
      <c r="B10" s="714"/>
      <c r="C10" s="714"/>
      <c r="D10" s="441">
        <v>0</v>
      </c>
      <c r="E10" s="715"/>
    </row>
    <row r="11" spans="1:5" ht="14.1" customHeight="1">
      <c r="A11" s="442" t="s">
        <v>255</v>
      </c>
      <c r="B11" s="714"/>
      <c r="C11" s="714"/>
      <c r="D11" s="441">
        <v>0</v>
      </c>
      <c r="E11" s="715"/>
    </row>
    <row r="12" spans="1:5" ht="14.1" customHeight="1">
      <c r="A12" s="440" t="s">
        <v>260</v>
      </c>
      <c r="B12" s="714">
        <v>30</v>
      </c>
      <c r="C12" s="714" t="s">
        <v>253</v>
      </c>
      <c r="D12" s="441">
        <v>4538.7269999999999</v>
      </c>
      <c r="E12" s="715">
        <v>136161.81</v>
      </c>
    </row>
    <row r="13" spans="1:5" ht="14.1" customHeight="1">
      <c r="A13" s="442" t="s">
        <v>261</v>
      </c>
      <c r="B13" s="714"/>
      <c r="C13" s="714"/>
      <c r="D13" s="441">
        <v>0</v>
      </c>
      <c r="E13" s="715"/>
    </row>
    <row r="14" spans="1:5" ht="14.1" customHeight="1">
      <c r="A14" s="442" t="s">
        <v>255</v>
      </c>
      <c r="B14" s="714"/>
      <c r="C14" s="714"/>
      <c r="D14" s="441">
        <v>0</v>
      </c>
      <c r="E14" s="715"/>
    </row>
    <row r="15" spans="1:5" ht="14.1" customHeight="1">
      <c r="A15" s="440" t="s">
        <v>262</v>
      </c>
      <c r="B15" s="714">
        <v>3</v>
      </c>
      <c r="C15" s="714" t="s">
        <v>253</v>
      </c>
      <c r="D15" s="441">
        <v>4693.9027500000002</v>
      </c>
      <c r="E15" s="715">
        <v>14081.70825</v>
      </c>
    </row>
    <row r="16" spans="1:5" ht="14.1" customHeight="1">
      <c r="A16" s="442" t="s">
        <v>263</v>
      </c>
      <c r="B16" s="714"/>
      <c r="C16" s="714"/>
      <c r="D16" s="441">
        <v>0</v>
      </c>
      <c r="E16" s="715"/>
    </row>
    <row r="17" spans="1:5" ht="14.1" customHeight="1">
      <c r="A17" s="442" t="s">
        <v>255</v>
      </c>
      <c r="B17" s="714"/>
      <c r="C17" s="714"/>
      <c r="D17" s="441">
        <v>0</v>
      </c>
      <c r="E17" s="715"/>
    </row>
    <row r="18" spans="1:5" ht="14.1" customHeight="1">
      <c r="A18" s="440" t="s">
        <v>264</v>
      </c>
      <c r="B18" s="714">
        <v>5</v>
      </c>
      <c r="C18" s="714" t="s">
        <v>253</v>
      </c>
      <c r="D18" s="441">
        <v>5199.3697499999998</v>
      </c>
      <c r="E18" s="715">
        <v>25996.848749999997</v>
      </c>
    </row>
    <row r="19" spans="1:5" ht="14.1" customHeight="1">
      <c r="A19" s="442" t="s">
        <v>265</v>
      </c>
      <c r="B19" s="714"/>
      <c r="C19" s="714"/>
      <c r="D19" s="441">
        <v>0</v>
      </c>
      <c r="E19" s="715"/>
    </row>
    <row r="20" spans="1:5" ht="14.1" customHeight="1">
      <c r="A20" s="442" t="s">
        <v>255</v>
      </c>
      <c r="B20" s="714"/>
      <c r="C20" s="714"/>
      <c r="D20" s="441">
        <v>0</v>
      </c>
      <c r="E20" s="715"/>
    </row>
    <row r="21" spans="1:5" ht="14.1" customHeight="1">
      <c r="A21" s="440" t="s">
        <v>266</v>
      </c>
      <c r="B21" s="714">
        <v>1</v>
      </c>
      <c r="C21" s="714" t="s">
        <v>253</v>
      </c>
      <c r="D21" s="441">
        <v>5631.5047500000001</v>
      </c>
      <c r="E21" s="715">
        <v>5631.5047500000001</v>
      </c>
    </row>
    <row r="22" spans="1:5" ht="14.1" customHeight="1">
      <c r="A22" s="442" t="s">
        <v>267</v>
      </c>
      <c r="B22" s="714"/>
      <c r="C22" s="714"/>
      <c r="D22" s="441">
        <v>0</v>
      </c>
      <c r="E22" s="715"/>
    </row>
    <row r="23" spans="1:5" ht="14.1" customHeight="1">
      <c r="A23" s="442" t="s">
        <v>255</v>
      </c>
      <c r="B23" s="714"/>
      <c r="C23" s="714"/>
      <c r="D23" s="441">
        <v>0</v>
      </c>
      <c r="E23" s="715"/>
    </row>
    <row r="24" spans="1:5" ht="14.1" customHeight="1">
      <c r="A24" s="440" t="s">
        <v>268</v>
      </c>
      <c r="B24" s="714">
        <v>2</v>
      </c>
      <c r="C24" s="714" t="s">
        <v>253</v>
      </c>
      <c r="D24" s="441">
        <v>6136.9717499999997</v>
      </c>
      <c r="E24" s="715">
        <v>12273.943499999999</v>
      </c>
    </row>
    <row r="25" spans="1:5" ht="14.1" customHeight="1">
      <c r="A25" s="442" t="s">
        <v>269</v>
      </c>
      <c r="B25" s="714"/>
      <c r="C25" s="714"/>
      <c r="D25" s="441">
        <v>0</v>
      </c>
      <c r="E25" s="715"/>
    </row>
    <row r="26" spans="1:5" ht="14.1" customHeight="1">
      <c r="A26" s="442" t="s">
        <v>255</v>
      </c>
      <c r="B26" s="714"/>
      <c r="C26" s="714"/>
      <c r="D26" s="441">
        <v>0</v>
      </c>
      <c r="E26" s="715"/>
    </row>
    <row r="27" spans="1:5" ht="14.1" customHeight="1">
      <c r="A27" s="440" t="s">
        <v>270</v>
      </c>
      <c r="B27" s="714">
        <v>1</v>
      </c>
      <c r="C27" s="714" t="s">
        <v>253</v>
      </c>
      <c r="D27" s="441">
        <v>2016.6299999999999</v>
      </c>
      <c r="E27" s="715">
        <v>2016.6299999999999</v>
      </c>
    </row>
    <row r="28" spans="1:5" ht="14.1" customHeight="1">
      <c r="A28" s="442" t="s">
        <v>271</v>
      </c>
      <c r="B28" s="714"/>
      <c r="C28" s="714"/>
      <c r="D28" s="441">
        <v>0</v>
      </c>
      <c r="E28" s="715"/>
    </row>
    <row r="29" spans="1:5" ht="14.1" customHeight="1">
      <c r="A29" s="442" t="s">
        <v>272</v>
      </c>
      <c r="B29" s="714"/>
      <c r="C29" s="714"/>
      <c r="D29" s="441">
        <v>0</v>
      </c>
      <c r="E29" s="715"/>
    </row>
    <row r="30" spans="1:5" ht="14.1" customHeight="1">
      <c r="A30" s="442" t="s">
        <v>273</v>
      </c>
      <c r="B30" s="714">
        <v>18</v>
      </c>
      <c r="C30" s="714" t="s">
        <v>253</v>
      </c>
      <c r="D30" s="441">
        <v>2886.1379999999999</v>
      </c>
      <c r="E30" s="715">
        <v>51950.483999999997</v>
      </c>
    </row>
    <row r="31" spans="1:5" ht="14.1" customHeight="1">
      <c r="A31" s="442" t="s">
        <v>274</v>
      </c>
      <c r="B31" s="714"/>
      <c r="C31" s="714"/>
      <c r="D31" s="441">
        <v>0</v>
      </c>
      <c r="E31" s="715"/>
    </row>
    <row r="32" spans="1:5" ht="14.1" customHeight="1">
      <c r="A32" s="442" t="s">
        <v>272</v>
      </c>
      <c r="B32" s="714"/>
      <c r="C32" s="714"/>
      <c r="D32" s="441">
        <v>0</v>
      </c>
      <c r="E32" s="715"/>
    </row>
    <row r="33" spans="1:5" ht="14.1" customHeight="1">
      <c r="A33" s="442" t="s">
        <v>275</v>
      </c>
      <c r="B33" s="714">
        <v>33</v>
      </c>
      <c r="C33" s="714" t="s">
        <v>253</v>
      </c>
      <c r="D33" s="441">
        <v>4828.78125</v>
      </c>
      <c r="E33" s="715">
        <v>159349.78125</v>
      </c>
    </row>
    <row r="34" spans="1:5" ht="14.1" customHeight="1">
      <c r="A34" s="442" t="s">
        <v>276</v>
      </c>
      <c r="B34" s="714"/>
      <c r="C34" s="714"/>
      <c r="D34" s="441">
        <v>0</v>
      </c>
      <c r="E34" s="715"/>
    </row>
    <row r="35" spans="1:5" ht="14.1" customHeight="1">
      <c r="A35" s="442" t="s">
        <v>277</v>
      </c>
      <c r="B35" s="714"/>
      <c r="C35" s="714"/>
      <c r="D35" s="441">
        <v>0</v>
      </c>
      <c r="E35" s="715"/>
    </row>
    <row r="36" spans="1:5" ht="14.1" customHeight="1">
      <c r="A36" s="442" t="s">
        <v>278</v>
      </c>
      <c r="B36" s="714">
        <v>6</v>
      </c>
      <c r="C36" s="714" t="s">
        <v>253</v>
      </c>
      <c r="D36" s="441">
        <v>5361.7477500000005</v>
      </c>
      <c r="E36" s="715">
        <v>32170.486500000003</v>
      </c>
    </row>
    <row r="37" spans="1:5" ht="14.1" customHeight="1">
      <c r="A37" s="442" t="s">
        <v>279</v>
      </c>
      <c r="B37" s="714"/>
      <c r="C37" s="714"/>
      <c r="D37" s="441">
        <v>0</v>
      </c>
      <c r="E37" s="715"/>
    </row>
    <row r="38" spans="1:5" ht="14.1" customHeight="1">
      <c r="A38" s="442" t="s">
        <v>277</v>
      </c>
      <c r="B38" s="714"/>
      <c r="C38" s="714"/>
      <c r="D38" s="441">
        <v>0</v>
      </c>
      <c r="E38" s="715"/>
    </row>
    <row r="39" spans="1:5" ht="14.1" customHeight="1">
      <c r="A39" s="442" t="s">
        <v>280</v>
      </c>
      <c r="B39" s="714">
        <v>2</v>
      </c>
      <c r="C39" s="714" t="s">
        <v>253</v>
      </c>
      <c r="D39" s="441">
        <v>6784.5194999999994</v>
      </c>
      <c r="E39" s="715">
        <v>13569.038999999999</v>
      </c>
    </row>
    <row r="40" spans="1:5" ht="14.1" customHeight="1">
      <c r="A40" s="442" t="s">
        <v>281</v>
      </c>
      <c r="B40" s="714"/>
      <c r="C40" s="714"/>
      <c r="D40" s="441">
        <v>0</v>
      </c>
      <c r="E40" s="715"/>
    </row>
    <row r="41" spans="1:5" ht="14.1" customHeight="1">
      <c r="A41" s="442" t="s">
        <v>277</v>
      </c>
      <c r="B41" s="714"/>
      <c r="C41" s="714"/>
      <c r="D41" s="441">
        <v>0</v>
      </c>
      <c r="E41" s="715"/>
    </row>
    <row r="42" spans="1:5" ht="14.1" customHeight="1">
      <c r="A42" s="442" t="s">
        <v>282</v>
      </c>
      <c r="B42" s="714">
        <v>1</v>
      </c>
      <c r="C42" s="714" t="s">
        <v>253</v>
      </c>
      <c r="D42" s="441">
        <v>4862.1734999999999</v>
      </c>
      <c r="E42" s="715">
        <v>4862.1734999999999</v>
      </c>
    </row>
    <row r="43" spans="1:5" ht="14.1" customHeight="1">
      <c r="A43" s="442" t="s">
        <v>283</v>
      </c>
      <c r="B43" s="714"/>
      <c r="C43" s="714"/>
      <c r="D43" s="441">
        <v>0</v>
      </c>
      <c r="E43" s="715"/>
    </row>
    <row r="44" spans="1:5" ht="14.1" customHeight="1">
      <c r="A44" s="442" t="s">
        <v>284</v>
      </c>
      <c r="B44" s="714"/>
      <c r="C44" s="714"/>
      <c r="D44" s="441">
        <v>0</v>
      </c>
      <c r="E44" s="715"/>
    </row>
    <row r="45" spans="1:5" ht="14.1" customHeight="1">
      <c r="A45" s="442" t="s">
        <v>285</v>
      </c>
      <c r="B45" s="714">
        <v>18</v>
      </c>
      <c r="C45" s="714" t="s">
        <v>253</v>
      </c>
      <c r="D45" s="441">
        <v>5968.701</v>
      </c>
      <c r="E45" s="715">
        <v>107436.618</v>
      </c>
    </row>
    <row r="46" spans="1:5" ht="14.1" customHeight="1">
      <c r="A46" s="442" t="s">
        <v>286</v>
      </c>
      <c r="B46" s="714"/>
      <c r="C46" s="714"/>
      <c r="D46" s="441">
        <v>0</v>
      </c>
      <c r="E46" s="715"/>
    </row>
    <row r="47" spans="1:5" ht="14.1" customHeight="1">
      <c r="A47" s="442" t="s">
        <v>284</v>
      </c>
      <c r="B47" s="714"/>
      <c r="C47" s="714"/>
      <c r="D47" s="441">
        <v>0</v>
      </c>
      <c r="E47" s="715"/>
    </row>
    <row r="48" spans="1:5" ht="14.1" customHeight="1">
      <c r="A48" s="442" t="s">
        <v>287</v>
      </c>
      <c r="B48" s="714">
        <v>33</v>
      </c>
      <c r="C48" s="714" t="s">
        <v>253</v>
      </c>
      <c r="D48" s="441">
        <v>8949.1229999999996</v>
      </c>
      <c r="E48" s="715">
        <v>295321.05900000001</v>
      </c>
    </row>
    <row r="49" spans="1:5" ht="14.1" customHeight="1">
      <c r="A49" s="442" t="s">
        <v>288</v>
      </c>
      <c r="B49" s="714"/>
      <c r="C49" s="714"/>
      <c r="D49" s="441">
        <v>0</v>
      </c>
      <c r="E49" s="715"/>
    </row>
    <row r="50" spans="1:5" ht="14.1" customHeight="1">
      <c r="A50" s="442" t="s">
        <v>284</v>
      </c>
      <c r="B50" s="714"/>
      <c r="C50" s="714"/>
      <c r="D50" s="441">
        <v>0</v>
      </c>
      <c r="E50" s="715"/>
    </row>
    <row r="51" spans="1:5" ht="14.1" customHeight="1">
      <c r="A51" s="442" t="s">
        <v>289</v>
      </c>
      <c r="B51" s="714">
        <v>6</v>
      </c>
      <c r="C51" s="714" t="s">
        <v>253</v>
      </c>
      <c r="D51" s="441">
        <v>10244.218500000001</v>
      </c>
      <c r="E51" s="715">
        <v>61465.311000000002</v>
      </c>
    </row>
    <row r="52" spans="1:5" ht="14.1" customHeight="1">
      <c r="A52" s="442" t="s">
        <v>290</v>
      </c>
      <c r="B52" s="714"/>
      <c r="C52" s="714"/>
      <c r="D52" s="441">
        <v>0</v>
      </c>
      <c r="E52" s="715"/>
    </row>
    <row r="53" spans="1:5" ht="14.1" customHeight="1">
      <c r="A53" s="442" t="s">
        <v>284</v>
      </c>
      <c r="B53" s="714"/>
      <c r="C53" s="714"/>
      <c r="D53" s="441">
        <v>0</v>
      </c>
      <c r="E53" s="715"/>
    </row>
    <row r="54" spans="1:5" ht="14.1" customHeight="1">
      <c r="A54" s="442" t="s">
        <v>291</v>
      </c>
      <c r="B54" s="714">
        <v>2</v>
      </c>
      <c r="C54" s="714" t="s">
        <v>253</v>
      </c>
      <c r="D54" s="441">
        <v>11835.91575</v>
      </c>
      <c r="E54" s="715">
        <v>23671.8315</v>
      </c>
    </row>
    <row r="55" spans="1:5" ht="14.1" customHeight="1">
      <c r="A55" s="442" t="s">
        <v>292</v>
      </c>
      <c r="B55" s="714"/>
      <c r="C55" s="714"/>
      <c r="D55" s="441">
        <v>0</v>
      </c>
      <c r="E55" s="715"/>
    </row>
    <row r="56" spans="1:5" ht="14.1" customHeight="1">
      <c r="A56" s="442" t="s">
        <v>293</v>
      </c>
      <c r="B56" s="714">
        <v>157</v>
      </c>
      <c r="C56" s="714" t="s">
        <v>253</v>
      </c>
      <c r="D56" s="441">
        <v>212.79374999999999</v>
      </c>
      <c r="E56" s="715">
        <v>33408.618750000001</v>
      </c>
    </row>
    <row r="57" spans="1:5" ht="14.1" customHeight="1">
      <c r="A57" s="442" t="s">
        <v>294</v>
      </c>
      <c r="B57" s="714"/>
      <c r="C57" s="714"/>
      <c r="D57" s="441">
        <v>0</v>
      </c>
      <c r="E57" s="715"/>
    </row>
    <row r="58" spans="1:5" ht="14.1" customHeight="1">
      <c r="A58" s="442" t="s">
        <v>295</v>
      </c>
      <c r="B58" s="714">
        <v>51</v>
      </c>
      <c r="C58" s="714" t="s">
        <v>253</v>
      </c>
      <c r="D58" s="441">
        <v>222.61500000000001</v>
      </c>
      <c r="E58" s="715">
        <v>11353.365</v>
      </c>
    </row>
    <row r="59" spans="1:5" ht="14.1" customHeight="1">
      <c r="A59" s="442" t="s">
        <v>296</v>
      </c>
      <c r="B59" s="714"/>
      <c r="C59" s="714"/>
      <c r="D59" s="441">
        <v>0</v>
      </c>
      <c r="E59" s="715"/>
    </row>
    <row r="60" spans="1:5" ht="14.1" customHeight="1">
      <c r="A60" s="442" t="s">
        <v>297</v>
      </c>
      <c r="B60" s="714"/>
      <c r="C60" s="714"/>
      <c r="D60" s="441">
        <v>0</v>
      </c>
      <c r="E60" s="715"/>
    </row>
    <row r="61" spans="1:5" ht="14.1" customHeight="1">
      <c r="A61" s="442" t="s">
        <v>298</v>
      </c>
      <c r="B61" s="714">
        <v>52</v>
      </c>
      <c r="C61" s="714" t="s">
        <v>253</v>
      </c>
      <c r="D61" s="441">
        <v>242.25749999999999</v>
      </c>
      <c r="E61" s="715">
        <v>12597.39</v>
      </c>
    </row>
    <row r="62" spans="1:5" ht="14.1" customHeight="1">
      <c r="A62" s="442" t="s">
        <v>299</v>
      </c>
      <c r="B62" s="714"/>
      <c r="C62" s="714"/>
      <c r="D62" s="441">
        <v>0</v>
      </c>
      <c r="E62" s="715"/>
    </row>
    <row r="63" spans="1:5" ht="14.1" customHeight="1">
      <c r="A63" s="442" t="s">
        <v>300</v>
      </c>
      <c r="B63" s="714"/>
      <c r="C63" s="714"/>
      <c r="D63" s="441">
        <v>0</v>
      </c>
      <c r="E63" s="715"/>
    </row>
    <row r="64" spans="1:5" ht="14.1" customHeight="1">
      <c r="A64" s="442" t="s">
        <v>301</v>
      </c>
      <c r="B64" s="714">
        <v>8</v>
      </c>
      <c r="C64" s="714" t="s">
        <v>302</v>
      </c>
      <c r="D64" s="441">
        <v>2814.1154999999999</v>
      </c>
      <c r="E64" s="715">
        <v>22512.923999999999</v>
      </c>
    </row>
    <row r="65" spans="1:5" ht="14.1" customHeight="1">
      <c r="A65" s="442" t="s">
        <v>303</v>
      </c>
      <c r="B65" s="714"/>
      <c r="C65" s="714"/>
      <c r="D65" s="441">
        <v>0</v>
      </c>
      <c r="E65" s="715"/>
    </row>
    <row r="66" spans="1:5" ht="14.1" customHeight="1">
      <c r="A66" s="442" t="s">
        <v>304</v>
      </c>
      <c r="B66" s="714"/>
      <c r="C66" s="714"/>
      <c r="D66" s="441">
        <v>0</v>
      </c>
      <c r="E66" s="715"/>
    </row>
    <row r="67" spans="1:5" ht="14.1" customHeight="1">
      <c r="A67" s="442" t="s">
        <v>305</v>
      </c>
      <c r="B67" s="714">
        <v>60</v>
      </c>
      <c r="C67" s="714" t="s">
        <v>302</v>
      </c>
      <c r="D67" s="441">
        <v>64.165500000000009</v>
      </c>
      <c r="E67" s="715">
        <v>3849.9300000000003</v>
      </c>
    </row>
    <row r="68" spans="1:5" ht="14.1" customHeight="1">
      <c r="A68" s="442" t="s">
        <v>306</v>
      </c>
      <c r="B68" s="714"/>
      <c r="C68" s="714"/>
      <c r="D68" s="441">
        <v>0</v>
      </c>
      <c r="E68" s="715"/>
    </row>
    <row r="69" spans="1:5" ht="14.1" customHeight="1">
      <c r="A69" s="442" t="s">
        <v>307</v>
      </c>
      <c r="B69" s="714"/>
      <c r="C69" s="714"/>
      <c r="D69" s="441">
        <v>0</v>
      </c>
      <c r="E69" s="715"/>
    </row>
    <row r="70" spans="1:5" ht="14.1" customHeight="1">
      <c r="A70" s="442" t="s">
        <v>308</v>
      </c>
      <c r="B70" s="714">
        <v>1</v>
      </c>
      <c r="C70" s="714" t="s">
        <v>302</v>
      </c>
      <c r="D70" s="441">
        <v>18.987749999999998</v>
      </c>
      <c r="E70" s="715">
        <v>18.987749999999998</v>
      </c>
    </row>
    <row r="71" spans="1:5" ht="14.1" customHeight="1">
      <c r="A71" s="442" t="s">
        <v>309</v>
      </c>
      <c r="B71" s="714"/>
      <c r="C71" s="714"/>
      <c r="D71" s="441">
        <v>0</v>
      </c>
      <c r="E71" s="715"/>
    </row>
    <row r="72" spans="1:5" ht="14.1" customHeight="1">
      <c r="A72" s="442" t="s">
        <v>310</v>
      </c>
      <c r="B72" s="714"/>
      <c r="C72" s="714"/>
      <c r="D72" s="441">
        <v>0</v>
      </c>
      <c r="E72" s="715"/>
    </row>
    <row r="73" spans="1:5" ht="14.1" customHeight="1">
      <c r="A73" s="442" t="s">
        <v>311</v>
      </c>
      <c r="B73" s="714">
        <v>60</v>
      </c>
      <c r="C73" s="714" t="s">
        <v>253</v>
      </c>
      <c r="D73" s="441">
        <v>21.606749999999998</v>
      </c>
      <c r="E73" s="715">
        <v>1296.405</v>
      </c>
    </row>
    <row r="74" spans="1:5" ht="14.1" customHeight="1">
      <c r="A74" s="442" t="s">
        <v>312</v>
      </c>
      <c r="B74" s="714"/>
      <c r="C74" s="714"/>
      <c r="D74" s="441">
        <v>0</v>
      </c>
      <c r="E74" s="715"/>
    </row>
    <row r="75" spans="1:5" ht="14.1" customHeight="1">
      <c r="A75" s="442" t="s">
        <v>313</v>
      </c>
      <c r="B75" s="714">
        <v>60</v>
      </c>
      <c r="C75" s="714" t="s">
        <v>302</v>
      </c>
      <c r="D75" s="441">
        <v>158.4495</v>
      </c>
      <c r="E75" s="715">
        <v>9506.9699999999993</v>
      </c>
    </row>
    <row r="76" spans="1:5" ht="14.1" customHeight="1">
      <c r="A76" s="442" t="s">
        <v>314</v>
      </c>
      <c r="B76" s="714"/>
      <c r="C76" s="714"/>
      <c r="D76" s="441">
        <v>0</v>
      </c>
      <c r="E76" s="715"/>
    </row>
    <row r="77" spans="1:5" ht="14.1" customHeight="1">
      <c r="A77" s="442" t="s">
        <v>315</v>
      </c>
      <c r="B77" s="714"/>
      <c r="C77" s="714"/>
      <c r="D77" s="441">
        <v>0</v>
      </c>
      <c r="E77" s="715"/>
    </row>
    <row r="78" spans="1:5" ht="14.1" customHeight="1">
      <c r="A78" s="442" t="s">
        <v>316</v>
      </c>
      <c r="B78" s="714">
        <v>55</v>
      </c>
      <c r="C78" s="714" t="s">
        <v>317</v>
      </c>
      <c r="D78" s="441">
        <v>9.166500000000001</v>
      </c>
      <c r="E78" s="715">
        <v>504.15750000000003</v>
      </c>
    </row>
    <row r="79" spans="1:5" ht="14.1" customHeight="1">
      <c r="A79" s="442" t="s">
        <v>318</v>
      </c>
      <c r="B79" s="714"/>
      <c r="C79" s="714"/>
      <c r="D79" s="441">
        <v>0</v>
      </c>
      <c r="E79" s="715"/>
    </row>
    <row r="80" spans="1:5" ht="14.1" customHeight="1">
      <c r="A80" s="442" t="s">
        <v>319</v>
      </c>
      <c r="B80" s="714">
        <v>693</v>
      </c>
      <c r="C80" s="714" t="s">
        <v>317</v>
      </c>
      <c r="D80" s="441">
        <v>17.678249999999998</v>
      </c>
      <c r="E80" s="715">
        <v>12251.027249999999</v>
      </c>
    </row>
    <row r="81" spans="1:5" ht="14.1" customHeight="1">
      <c r="A81" s="442" t="s">
        <v>320</v>
      </c>
      <c r="B81" s="714"/>
      <c r="C81" s="714"/>
      <c r="D81" s="441">
        <v>0</v>
      </c>
      <c r="E81" s="715"/>
    </row>
    <row r="82" spans="1:5" ht="14.1" customHeight="1">
      <c r="A82" s="442" t="s">
        <v>321</v>
      </c>
      <c r="B82" s="716">
        <v>1694</v>
      </c>
      <c r="C82" s="714" t="s">
        <v>317</v>
      </c>
      <c r="D82" s="441">
        <v>24.225750000000001</v>
      </c>
      <c r="E82" s="715">
        <v>41038.4205</v>
      </c>
    </row>
    <row r="83" spans="1:5" ht="14.1" customHeight="1">
      <c r="A83" s="442" t="s">
        <v>322</v>
      </c>
      <c r="B83" s="714"/>
      <c r="C83" s="714"/>
      <c r="D83" s="441">
        <v>0</v>
      </c>
      <c r="E83" s="715"/>
    </row>
    <row r="84" spans="1:5" ht="14.1" customHeight="1">
      <c r="A84" s="442" t="s">
        <v>323</v>
      </c>
      <c r="B84" s="716">
        <v>1059</v>
      </c>
      <c r="C84" s="714" t="s">
        <v>317</v>
      </c>
      <c r="D84" s="441">
        <v>24.04242</v>
      </c>
      <c r="E84" s="715">
        <v>25460.922780000001</v>
      </c>
    </row>
    <row r="85" spans="1:5" ht="14.1" customHeight="1">
      <c r="A85" s="442" t="s">
        <v>324</v>
      </c>
      <c r="B85" s="714"/>
      <c r="C85" s="714"/>
      <c r="D85" s="441">
        <v>0</v>
      </c>
      <c r="E85" s="715"/>
    </row>
    <row r="86" spans="1:5" ht="14.1" customHeight="1">
      <c r="A86" s="442" t="s">
        <v>325</v>
      </c>
      <c r="B86" s="716">
        <v>1130</v>
      </c>
      <c r="C86" s="714" t="s">
        <v>317</v>
      </c>
      <c r="D86" s="441">
        <v>32.514884999999992</v>
      </c>
      <c r="E86" s="715">
        <v>36741.820049999995</v>
      </c>
    </row>
    <row r="87" spans="1:5" ht="14.1" customHeight="1">
      <c r="A87" s="442" t="s">
        <v>326</v>
      </c>
      <c r="B87" s="714"/>
      <c r="C87" s="714"/>
      <c r="D87" s="441">
        <v>0</v>
      </c>
      <c r="E87" s="715"/>
    </row>
    <row r="88" spans="1:5" ht="14.1" customHeight="1">
      <c r="A88" s="440" t="s">
        <v>327</v>
      </c>
      <c r="B88" s="714">
        <v>525</v>
      </c>
      <c r="C88" s="714" t="s">
        <v>317</v>
      </c>
      <c r="D88" s="441">
        <v>45.315247499999998</v>
      </c>
      <c r="E88" s="715">
        <v>23790.504937499998</v>
      </c>
    </row>
    <row r="89" spans="1:5" ht="14.1" customHeight="1">
      <c r="A89" s="442" t="s">
        <v>328</v>
      </c>
      <c r="B89" s="714"/>
      <c r="C89" s="714"/>
      <c r="D89" s="441">
        <v>0</v>
      </c>
      <c r="E89" s="715"/>
    </row>
    <row r="90" spans="1:5" ht="14.1" customHeight="1">
      <c r="A90" s="440" t="s">
        <v>329</v>
      </c>
      <c r="B90" s="716">
        <v>10044</v>
      </c>
      <c r="C90" s="714" t="s">
        <v>302</v>
      </c>
      <c r="D90" s="441">
        <v>170.88974999999999</v>
      </c>
      <c r="E90" s="715">
        <v>1716416.649</v>
      </c>
    </row>
    <row r="91" spans="1:5" ht="14.1" customHeight="1">
      <c r="A91" s="442" t="s">
        <v>330</v>
      </c>
      <c r="B91" s="714"/>
      <c r="C91" s="714"/>
      <c r="D91" s="441">
        <v>0</v>
      </c>
      <c r="E91" s="715"/>
    </row>
    <row r="92" spans="1:5" ht="14.1" customHeight="1">
      <c r="A92" s="442" t="s">
        <v>331</v>
      </c>
      <c r="B92" s="714"/>
      <c r="C92" s="714"/>
      <c r="D92" s="441">
        <v>0</v>
      </c>
      <c r="E92" s="715"/>
    </row>
    <row r="93" spans="1:5" ht="14.1" customHeight="1">
      <c r="A93" s="436" t="s">
        <v>332</v>
      </c>
      <c r="B93" s="446"/>
      <c r="C93" s="446"/>
      <c r="D93" s="438">
        <v>0</v>
      </c>
      <c r="E93" s="439"/>
    </row>
    <row r="94" spans="1:5" ht="14.1" customHeight="1">
      <c r="A94" s="440" t="s">
        <v>333</v>
      </c>
      <c r="B94" s="714">
        <v>2</v>
      </c>
      <c r="C94" s="714" t="s">
        <v>253</v>
      </c>
      <c r="D94" s="441">
        <v>541.47825</v>
      </c>
      <c r="E94" s="715">
        <v>1082.9565</v>
      </c>
    </row>
    <row r="95" spans="1:5" ht="14.1" customHeight="1">
      <c r="A95" s="442" t="s">
        <v>334</v>
      </c>
      <c r="B95" s="714"/>
      <c r="C95" s="714"/>
      <c r="D95" s="441">
        <v>0</v>
      </c>
      <c r="E95" s="715"/>
    </row>
    <row r="96" spans="1:5" ht="14.1" customHeight="1">
      <c r="A96" s="440" t="s">
        <v>335</v>
      </c>
      <c r="B96" s="714">
        <v>3</v>
      </c>
      <c r="C96" s="714" t="s">
        <v>253</v>
      </c>
      <c r="D96" s="441">
        <v>75.296250000000001</v>
      </c>
      <c r="E96" s="715">
        <v>225.88875000000002</v>
      </c>
    </row>
    <row r="97" spans="1:5" ht="14.1" customHeight="1">
      <c r="A97" s="442" t="s">
        <v>336</v>
      </c>
      <c r="B97" s="714"/>
      <c r="C97" s="714"/>
      <c r="D97" s="441">
        <v>0</v>
      </c>
      <c r="E97" s="715"/>
    </row>
    <row r="98" spans="1:5" ht="14.1" customHeight="1">
      <c r="A98" s="440" t="s">
        <v>337</v>
      </c>
      <c r="B98" s="714">
        <v>3</v>
      </c>
      <c r="C98" s="714" t="s">
        <v>253</v>
      </c>
      <c r="D98" s="441">
        <v>72.022500000000008</v>
      </c>
      <c r="E98" s="715">
        <v>216.06750000000002</v>
      </c>
    </row>
    <row r="99" spans="1:5" ht="14.1" customHeight="1">
      <c r="A99" s="442" t="s">
        <v>338</v>
      </c>
      <c r="B99" s="714"/>
      <c r="C99" s="714"/>
      <c r="D99" s="441">
        <v>0</v>
      </c>
      <c r="E99" s="715"/>
    </row>
    <row r="100" spans="1:5" ht="14.1" customHeight="1">
      <c r="A100" s="442" t="s">
        <v>339</v>
      </c>
      <c r="B100" s="714"/>
      <c r="C100" s="714"/>
      <c r="D100" s="441">
        <v>0</v>
      </c>
      <c r="E100" s="715"/>
    </row>
    <row r="101" spans="1:5" ht="14.1" customHeight="1">
      <c r="A101" s="440" t="s">
        <v>340</v>
      </c>
      <c r="B101" s="714">
        <v>1</v>
      </c>
      <c r="C101" s="714" t="s">
        <v>302</v>
      </c>
      <c r="D101" s="441">
        <v>925.16174999999998</v>
      </c>
      <c r="E101" s="715">
        <v>925.16174999999998</v>
      </c>
    </row>
    <row r="102" spans="1:5" ht="14.1" customHeight="1">
      <c r="A102" s="442" t="s">
        <v>341</v>
      </c>
      <c r="B102" s="714"/>
      <c r="C102" s="714"/>
      <c r="D102" s="441">
        <v>0</v>
      </c>
      <c r="E102" s="715"/>
    </row>
    <row r="103" spans="1:5" ht="14.1" customHeight="1">
      <c r="A103" s="440" t="s">
        <v>342</v>
      </c>
      <c r="B103" s="714">
        <v>4</v>
      </c>
      <c r="C103" s="714" t="s">
        <v>253</v>
      </c>
      <c r="D103" s="441">
        <v>285.471</v>
      </c>
      <c r="E103" s="715">
        <v>1141.884</v>
      </c>
    </row>
    <row r="104" spans="1:5" ht="14.1" customHeight="1">
      <c r="A104" s="442" t="s">
        <v>343</v>
      </c>
      <c r="B104" s="714"/>
      <c r="C104" s="714"/>
      <c r="D104" s="441">
        <v>0</v>
      </c>
      <c r="E104" s="715"/>
    </row>
    <row r="105" spans="1:5" ht="14.1" customHeight="1">
      <c r="A105" s="440" t="s">
        <v>344</v>
      </c>
      <c r="B105" s="714">
        <v>4</v>
      </c>
      <c r="C105" s="714" t="s">
        <v>253</v>
      </c>
      <c r="D105" s="441">
        <v>75.296250000000001</v>
      </c>
      <c r="E105" s="715">
        <v>301.185</v>
      </c>
    </row>
    <row r="106" spans="1:5" ht="14.1" customHeight="1">
      <c r="A106" s="442" t="s">
        <v>336</v>
      </c>
      <c r="B106" s="714"/>
      <c r="C106" s="714"/>
      <c r="D106" s="441">
        <v>0</v>
      </c>
      <c r="E106" s="715"/>
    </row>
    <row r="107" spans="1:5" ht="14.1" customHeight="1">
      <c r="A107" s="440" t="s">
        <v>345</v>
      </c>
      <c r="B107" s="714">
        <v>4</v>
      </c>
      <c r="C107" s="714" t="s">
        <v>253</v>
      </c>
      <c r="D107" s="441">
        <v>191.84174999999999</v>
      </c>
      <c r="E107" s="715">
        <v>767.36699999999996</v>
      </c>
    </row>
    <row r="108" spans="1:5" ht="14.1" customHeight="1">
      <c r="A108" s="442" t="s">
        <v>346</v>
      </c>
      <c r="B108" s="714"/>
      <c r="C108" s="714"/>
      <c r="D108" s="441">
        <v>0</v>
      </c>
      <c r="E108" s="715"/>
    </row>
    <row r="109" spans="1:5" ht="14.1" customHeight="1">
      <c r="A109" s="440" t="s">
        <v>347</v>
      </c>
      <c r="B109" s="714">
        <v>4</v>
      </c>
      <c r="C109" s="714" t="s">
        <v>253</v>
      </c>
      <c r="D109" s="441">
        <v>1385.451</v>
      </c>
      <c r="E109" s="715">
        <v>5541.8040000000001</v>
      </c>
    </row>
    <row r="110" spans="1:5" ht="14.1" customHeight="1">
      <c r="A110" s="442" t="s">
        <v>348</v>
      </c>
      <c r="B110" s="714"/>
      <c r="C110" s="714"/>
      <c r="D110" s="441">
        <v>0</v>
      </c>
      <c r="E110" s="715"/>
    </row>
    <row r="111" spans="1:5" ht="14.1" customHeight="1">
      <c r="A111" s="440" t="s">
        <v>349</v>
      </c>
      <c r="B111" s="714">
        <v>4</v>
      </c>
      <c r="C111" s="714" t="s">
        <v>253</v>
      </c>
      <c r="D111" s="441">
        <v>111.96225</v>
      </c>
      <c r="E111" s="715">
        <v>447.84899999999999</v>
      </c>
    </row>
    <row r="112" spans="1:5" ht="14.1" customHeight="1">
      <c r="A112" s="442" t="s">
        <v>350</v>
      </c>
      <c r="B112" s="714"/>
      <c r="C112" s="714"/>
      <c r="D112" s="441">
        <v>0</v>
      </c>
      <c r="E112" s="715"/>
    </row>
    <row r="113" spans="1:5" ht="14.1" customHeight="1">
      <c r="A113" s="443"/>
      <c r="B113" s="444"/>
      <c r="C113" s="444"/>
      <c r="D113" s="444"/>
      <c r="E113" s="445"/>
    </row>
    <row r="114" spans="1:5" ht="14.1" customHeight="1" thickBot="1">
      <c r="A114" s="450" t="s">
        <v>351</v>
      </c>
      <c r="B114" s="447"/>
      <c r="C114" s="447"/>
      <c r="D114" s="448"/>
      <c r="E114" s="449">
        <v>2976460.4547674996</v>
      </c>
    </row>
    <row r="115" spans="1:5" ht="15" thickBot="1"/>
    <row r="116" spans="1:5" ht="15">
      <c r="A116" s="451" t="s">
        <v>248</v>
      </c>
      <c r="B116" s="452" t="s">
        <v>249</v>
      </c>
      <c r="C116" s="453" t="s">
        <v>19</v>
      </c>
      <c r="D116" s="454" t="s">
        <v>250</v>
      </c>
      <c r="E116" s="455" t="s">
        <v>159</v>
      </c>
    </row>
    <row r="117" spans="1:5" ht="15">
      <c r="A117" s="456" t="s">
        <v>251</v>
      </c>
      <c r="B117" s="457"/>
      <c r="C117" s="458"/>
      <c r="D117" s="459"/>
      <c r="E117" s="460"/>
    </row>
    <row r="118" spans="1:5" ht="15">
      <c r="A118" s="461" t="s">
        <v>352</v>
      </c>
      <c r="B118" s="717">
        <v>1</v>
      </c>
      <c r="C118" s="717" t="s">
        <v>253</v>
      </c>
      <c r="D118" s="462">
        <v>1014.8625</v>
      </c>
      <c r="E118" s="721">
        <v>1014.8625</v>
      </c>
    </row>
    <row r="119" spans="1:5" ht="15">
      <c r="A119" s="463" t="s">
        <v>353</v>
      </c>
      <c r="B119" s="717"/>
      <c r="C119" s="717"/>
      <c r="D119" s="462">
        <v>0</v>
      </c>
      <c r="E119" s="721"/>
    </row>
    <row r="120" spans="1:5" ht="15">
      <c r="A120" s="463" t="s">
        <v>255</v>
      </c>
      <c r="B120" s="717"/>
      <c r="C120" s="717"/>
      <c r="D120" s="462">
        <v>0</v>
      </c>
      <c r="E120" s="721"/>
    </row>
    <row r="121" spans="1:5" ht="15">
      <c r="A121" s="461" t="s">
        <v>354</v>
      </c>
      <c r="B121" s="717">
        <v>2</v>
      </c>
      <c r="C121" s="717" t="s">
        <v>253</v>
      </c>
      <c r="D121" s="462">
        <v>1213.9065000000001</v>
      </c>
      <c r="E121" s="721">
        <v>2427.8130000000001</v>
      </c>
    </row>
    <row r="122" spans="1:5" ht="15">
      <c r="A122" s="463" t="s">
        <v>355</v>
      </c>
      <c r="B122" s="717"/>
      <c r="C122" s="717"/>
      <c r="D122" s="462">
        <v>0</v>
      </c>
      <c r="E122" s="721"/>
    </row>
    <row r="123" spans="1:5" ht="15">
      <c r="A123" s="463" t="s">
        <v>255</v>
      </c>
      <c r="B123" s="717"/>
      <c r="C123" s="717"/>
      <c r="D123" s="462">
        <v>0</v>
      </c>
      <c r="E123" s="721"/>
    </row>
    <row r="124" spans="1:5" ht="15">
      <c r="A124" s="461" t="s">
        <v>356</v>
      </c>
      <c r="B124" s="717">
        <v>3</v>
      </c>
      <c r="C124" s="717" t="s">
        <v>253</v>
      </c>
      <c r="D124" s="462">
        <v>1018.13625</v>
      </c>
      <c r="E124" s="721">
        <v>3054.4087500000001</v>
      </c>
    </row>
    <row r="125" spans="1:5" ht="15">
      <c r="A125" s="463" t="s">
        <v>357</v>
      </c>
      <c r="B125" s="717"/>
      <c r="C125" s="717"/>
      <c r="D125" s="462">
        <v>0</v>
      </c>
      <c r="E125" s="721"/>
    </row>
    <row r="126" spans="1:5" ht="15">
      <c r="A126" s="463" t="s">
        <v>255</v>
      </c>
      <c r="B126" s="717"/>
      <c r="C126" s="717"/>
      <c r="D126" s="462">
        <v>0</v>
      </c>
      <c r="E126" s="721"/>
    </row>
    <row r="127" spans="1:5" ht="15">
      <c r="A127" s="461" t="s">
        <v>358</v>
      </c>
      <c r="B127" s="717">
        <v>1</v>
      </c>
      <c r="C127" s="717" t="s">
        <v>253</v>
      </c>
      <c r="D127" s="462">
        <v>1369.0822500000002</v>
      </c>
      <c r="E127" s="721">
        <v>1369.0822500000002</v>
      </c>
    </row>
    <row r="128" spans="1:5" ht="15">
      <c r="A128" s="463" t="s">
        <v>359</v>
      </c>
      <c r="B128" s="717"/>
      <c r="C128" s="717"/>
      <c r="D128" s="462">
        <v>0</v>
      </c>
      <c r="E128" s="721"/>
    </row>
    <row r="129" spans="1:5" ht="15">
      <c r="A129" s="463" t="s">
        <v>255</v>
      </c>
      <c r="B129" s="717"/>
      <c r="C129" s="717"/>
      <c r="D129" s="462">
        <v>0</v>
      </c>
      <c r="E129" s="721"/>
    </row>
    <row r="130" spans="1:5" ht="15">
      <c r="A130" s="461" t="s">
        <v>360</v>
      </c>
      <c r="B130" s="717">
        <v>4</v>
      </c>
      <c r="C130" s="717" t="s">
        <v>253</v>
      </c>
      <c r="D130" s="462">
        <v>1638.83925</v>
      </c>
      <c r="E130" s="721">
        <v>6555.357</v>
      </c>
    </row>
    <row r="131" spans="1:5" ht="15">
      <c r="A131" s="463" t="s">
        <v>361</v>
      </c>
      <c r="B131" s="717"/>
      <c r="C131" s="717"/>
      <c r="D131" s="462">
        <v>0</v>
      </c>
      <c r="E131" s="721"/>
    </row>
    <row r="132" spans="1:5" ht="15">
      <c r="A132" s="463" t="s">
        <v>255</v>
      </c>
      <c r="B132" s="717"/>
      <c r="C132" s="717"/>
      <c r="D132" s="462">
        <v>0</v>
      </c>
      <c r="E132" s="721"/>
    </row>
    <row r="133" spans="1:5" ht="15">
      <c r="A133" s="461" t="s">
        <v>362</v>
      </c>
      <c r="B133" s="717">
        <v>1</v>
      </c>
      <c r="C133" s="717" t="s">
        <v>253</v>
      </c>
      <c r="D133" s="462">
        <v>2232.0427500000001</v>
      </c>
      <c r="E133" s="721">
        <v>2232.0427500000001</v>
      </c>
    </row>
    <row r="134" spans="1:5" ht="15">
      <c r="A134" s="463" t="s">
        <v>254</v>
      </c>
      <c r="B134" s="717"/>
      <c r="C134" s="717"/>
      <c r="D134" s="462">
        <v>0</v>
      </c>
      <c r="E134" s="721"/>
    </row>
    <row r="135" spans="1:5" ht="15">
      <c r="A135" s="463" t="s">
        <v>255</v>
      </c>
      <c r="B135" s="717"/>
      <c r="C135" s="717"/>
      <c r="D135" s="462">
        <v>0</v>
      </c>
      <c r="E135" s="721"/>
    </row>
    <row r="136" spans="1:5" ht="15">
      <c r="A136" s="461" t="s">
        <v>363</v>
      </c>
      <c r="B136" s="717">
        <v>4</v>
      </c>
      <c r="C136" s="717" t="s">
        <v>253</v>
      </c>
      <c r="D136" s="462">
        <v>2738.1645000000003</v>
      </c>
      <c r="E136" s="721">
        <v>10952.658000000001</v>
      </c>
    </row>
    <row r="137" spans="1:5" ht="15">
      <c r="A137" s="463" t="s">
        <v>364</v>
      </c>
      <c r="B137" s="717"/>
      <c r="C137" s="717"/>
      <c r="D137" s="462">
        <v>0</v>
      </c>
      <c r="E137" s="721"/>
    </row>
    <row r="138" spans="1:5" ht="15">
      <c r="A138" s="463" t="s">
        <v>255</v>
      </c>
      <c r="B138" s="717"/>
      <c r="C138" s="717"/>
      <c r="D138" s="462">
        <v>0</v>
      </c>
      <c r="E138" s="721"/>
    </row>
    <row r="139" spans="1:5" ht="15">
      <c r="A139" s="461" t="s">
        <v>365</v>
      </c>
      <c r="B139" s="717">
        <v>1</v>
      </c>
      <c r="C139" s="717" t="s">
        <v>253</v>
      </c>
      <c r="D139" s="462">
        <v>2899.8877499999999</v>
      </c>
      <c r="E139" s="721">
        <v>2899.8877499999999</v>
      </c>
    </row>
    <row r="140" spans="1:5" ht="15">
      <c r="A140" s="463" t="s">
        <v>366</v>
      </c>
      <c r="B140" s="717"/>
      <c r="C140" s="717"/>
      <c r="D140" s="462">
        <v>0</v>
      </c>
      <c r="E140" s="721"/>
    </row>
    <row r="141" spans="1:5" ht="15">
      <c r="A141" s="463" t="s">
        <v>255</v>
      </c>
      <c r="B141" s="717"/>
      <c r="C141" s="717"/>
      <c r="D141" s="462">
        <v>0</v>
      </c>
      <c r="E141" s="721"/>
    </row>
    <row r="142" spans="1:5" ht="15">
      <c r="A142" s="461" t="s">
        <v>367</v>
      </c>
      <c r="B142" s="717">
        <v>3</v>
      </c>
      <c r="C142" s="717" t="s">
        <v>253</v>
      </c>
      <c r="D142" s="462">
        <v>5631.5047500000001</v>
      </c>
      <c r="E142" s="721">
        <v>16894.51425</v>
      </c>
    </row>
    <row r="143" spans="1:5" ht="15">
      <c r="A143" s="463" t="s">
        <v>368</v>
      </c>
      <c r="B143" s="717"/>
      <c r="C143" s="717"/>
      <c r="D143" s="462">
        <v>0</v>
      </c>
      <c r="E143" s="721"/>
    </row>
    <row r="144" spans="1:5" ht="15">
      <c r="A144" s="463" t="s">
        <v>255</v>
      </c>
      <c r="B144" s="717"/>
      <c r="C144" s="717"/>
      <c r="D144" s="462">
        <v>0</v>
      </c>
      <c r="E144" s="721"/>
    </row>
    <row r="145" spans="1:5" ht="15">
      <c r="A145" s="463" t="s">
        <v>369</v>
      </c>
      <c r="B145" s="717">
        <v>3</v>
      </c>
      <c r="C145" s="717" t="s">
        <v>253</v>
      </c>
      <c r="D145" s="462">
        <v>3870.8819999999996</v>
      </c>
      <c r="E145" s="721">
        <v>11612.645999999999</v>
      </c>
    </row>
    <row r="146" spans="1:5" ht="15">
      <c r="A146" s="463" t="s">
        <v>370</v>
      </c>
      <c r="B146" s="717"/>
      <c r="C146" s="717"/>
      <c r="D146" s="462">
        <v>0</v>
      </c>
      <c r="E146" s="721"/>
    </row>
    <row r="147" spans="1:5" ht="15">
      <c r="A147" s="463" t="s">
        <v>255</v>
      </c>
      <c r="B147" s="717"/>
      <c r="C147" s="717"/>
      <c r="D147" s="462">
        <v>0</v>
      </c>
      <c r="E147" s="721"/>
    </row>
    <row r="148" spans="1:5" ht="15">
      <c r="A148" s="463" t="s">
        <v>371</v>
      </c>
      <c r="B148" s="717">
        <v>3</v>
      </c>
      <c r="C148" s="717" t="s">
        <v>253</v>
      </c>
      <c r="D148" s="462">
        <v>4693.9027500000002</v>
      </c>
      <c r="E148" s="721">
        <v>14081.70825</v>
      </c>
    </row>
    <row r="149" spans="1:5" ht="15">
      <c r="A149" s="463" t="s">
        <v>263</v>
      </c>
      <c r="B149" s="717"/>
      <c r="C149" s="717"/>
      <c r="D149" s="462">
        <v>0</v>
      </c>
      <c r="E149" s="721"/>
    </row>
    <row r="150" spans="1:5" ht="15">
      <c r="A150" s="463" t="s">
        <v>255</v>
      </c>
      <c r="B150" s="717"/>
      <c r="C150" s="717"/>
      <c r="D150" s="462">
        <v>0</v>
      </c>
      <c r="E150" s="721"/>
    </row>
    <row r="151" spans="1:5" ht="15">
      <c r="A151" s="464" t="s">
        <v>372</v>
      </c>
      <c r="B151" s="717">
        <v>3</v>
      </c>
      <c r="C151" s="717" t="s">
        <v>253</v>
      </c>
      <c r="D151" s="462">
        <v>5631.5047500000001</v>
      </c>
      <c r="E151" s="721">
        <v>16894.51425</v>
      </c>
    </row>
    <row r="152" spans="1:5" ht="15">
      <c r="A152" s="465" t="s">
        <v>279</v>
      </c>
      <c r="B152" s="717"/>
      <c r="C152" s="717"/>
      <c r="D152" s="462">
        <v>0</v>
      </c>
      <c r="E152" s="721"/>
    </row>
    <row r="153" spans="1:5" ht="15">
      <c r="A153" s="465" t="s">
        <v>277</v>
      </c>
      <c r="B153" s="717"/>
      <c r="C153" s="717"/>
      <c r="D153" s="462">
        <v>0</v>
      </c>
      <c r="E153" s="721"/>
    </row>
    <row r="154" spans="1:5" ht="15">
      <c r="A154" s="463" t="s">
        <v>373</v>
      </c>
      <c r="B154" s="717">
        <v>1</v>
      </c>
      <c r="C154" s="717" t="s">
        <v>253</v>
      </c>
      <c r="D154" s="462">
        <v>6743.9250000000002</v>
      </c>
      <c r="E154" s="721">
        <v>6743.9250000000002</v>
      </c>
    </row>
    <row r="155" spans="1:5" ht="15">
      <c r="A155" s="463" t="s">
        <v>374</v>
      </c>
      <c r="B155" s="717"/>
      <c r="C155" s="717"/>
      <c r="D155" s="462">
        <v>0</v>
      </c>
      <c r="E155" s="721"/>
    </row>
    <row r="156" spans="1:5" ht="15">
      <c r="A156" s="463" t="s">
        <v>255</v>
      </c>
      <c r="B156" s="717"/>
      <c r="C156" s="717"/>
      <c r="D156" s="462">
        <v>0</v>
      </c>
      <c r="E156" s="721"/>
    </row>
    <row r="157" spans="1:5" ht="15">
      <c r="A157" s="463" t="s">
        <v>375</v>
      </c>
      <c r="B157" s="717">
        <v>2</v>
      </c>
      <c r="C157" s="717" t="s">
        <v>253</v>
      </c>
      <c r="D157" s="462">
        <v>6136.9717499999997</v>
      </c>
      <c r="E157" s="721">
        <v>12273.943499999999</v>
      </c>
    </row>
    <row r="158" spans="1:5" ht="15">
      <c r="A158" s="463" t="s">
        <v>269</v>
      </c>
      <c r="B158" s="717"/>
      <c r="C158" s="717"/>
      <c r="D158" s="462">
        <v>0</v>
      </c>
      <c r="E158" s="721"/>
    </row>
    <row r="159" spans="1:5" ht="15">
      <c r="A159" s="463" t="s">
        <v>255</v>
      </c>
      <c r="B159" s="717"/>
      <c r="C159" s="717"/>
      <c r="D159" s="462">
        <v>0</v>
      </c>
      <c r="E159" s="721"/>
    </row>
    <row r="160" spans="1:5" ht="15">
      <c r="A160" s="463" t="s">
        <v>376</v>
      </c>
      <c r="B160" s="717">
        <v>8</v>
      </c>
      <c r="C160" s="717" t="s">
        <v>253</v>
      </c>
      <c r="D160" s="462">
        <v>6912.8504999999996</v>
      </c>
      <c r="E160" s="721">
        <v>55302.803999999996</v>
      </c>
    </row>
    <row r="161" spans="1:5" ht="15">
      <c r="A161" s="463" t="s">
        <v>377</v>
      </c>
      <c r="B161" s="717"/>
      <c r="C161" s="717"/>
      <c r="D161" s="462">
        <v>0</v>
      </c>
      <c r="E161" s="721"/>
    </row>
    <row r="162" spans="1:5" ht="15">
      <c r="A162" s="463" t="s">
        <v>255</v>
      </c>
      <c r="B162" s="717"/>
      <c r="C162" s="717"/>
      <c r="D162" s="462">
        <v>0</v>
      </c>
      <c r="E162" s="721"/>
    </row>
    <row r="163" spans="1:5" ht="15">
      <c r="A163" s="463" t="s">
        <v>378</v>
      </c>
      <c r="B163" s="717">
        <v>6</v>
      </c>
      <c r="C163" s="717" t="s">
        <v>253</v>
      </c>
      <c r="D163" s="462">
        <v>1342.2375</v>
      </c>
      <c r="E163" s="721">
        <v>8053.4249999999993</v>
      </c>
    </row>
    <row r="164" spans="1:5" ht="15">
      <c r="A164" s="463" t="s">
        <v>379</v>
      </c>
      <c r="B164" s="717"/>
      <c r="C164" s="717"/>
      <c r="D164" s="462">
        <v>0</v>
      </c>
      <c r="E164" s="721"/>
    </row>
    <row r="165" spans="1:5" ht="15">
      <c r="A165" s="463" t="s">
        <v>272</v>
      </c>
      <c r="B165" s="717"/>
      <c r="C165" s="717"/>
      <c r="D165" s="462">
        <v>0</v>
      </c>
      <c r="E165" s="721"/>
    </row>
    <row r="166" spans="1:5" ht="15">
      <c r="A166" s="463" t="s">
        <v>380</v>
      </c>
      <c r="B166" s="717">
        <v>5</v>
      </c>
      <c r="C166" s="717" t="s">
        <v>253</v>
      </c>
      <c r="D166" s="462">
        <v>1733.1232500000001</v>
      </c>
      <c r="E166" s="721">
        <v>8665.6162500000009</v>
      </c>
    </row>
    <row r="167" spans="1:5" ht="15">
      <c r="A167" s="463" t="s">
        <v>381</v>
      </c>
      <c r="B167" s="717"/>
      <c r="C167" s="717"/>
      <c r="D167" s="462">
        <v>0</v>
      </c>
      <c r="E167" s="721"/>
    </row>
    <row r="168" spans="1:5" ht="15">
      <c r="A168" s="463" t="s">
        <v>272</v>
      </c>
      <c r="B168" s="717"/>
      <c r="C168" s="717"/>
      <c r="D168" s="462">
        <v>0</v>
      </c>
      <c r="E168" s="721"/>
    </row>
    <row r="169" spans="1:5" ht="15">
      <c r="A169" s="463" t="s">
        <v>382</v>
      </c>
      <c r="B169" s="717">
        <v>5</v>
      </c>
      <c r="C169" s="717" t="s">
        <v>253</v>
      </c>
      <c r="D169" s="462">
        <v>2016.6299999999999</v>
      </c>
      <c r="E169" s="721">
        <v>10083.15</v>
      </c>
    </row>
    <row r="170" spans="1:5" ht="15">
      <c r="A170" s="463" t="s">
        <v>271</v>
      </c>
      <c r="B170" s="717"/>
      <c r="C170" s="717"/>
      <c r="D170" s="462">
        <v>0</v>
      </c>
      <c r="E170" s="721"/>
    </row>
    <row r="171" spans="1:5" ht="15">
      <c r="A171" s="463" t="s">
        <v>272</v>
      </c>
      <c r="B171" s="717"/>
      <c r="C171" s="717"/>
      <c r="D171" s="462">
        <v>0</v>
      </c>
      <c r="E171" s="721"/>
    </row>
    <row r="172" spans="1:5" ht="15">
      <c r="A172" s="463" t="s">
        <v>383</v>
      </c>
      <c r="B172" s="717">
        <v>1</v>
      </c>
      <c r="C172" s="717" t="s">
        <v>253</v>
      </c>
      <c r="D172" s="462">
        <v>2245.7925</v>
      </c>
      <c r="E172" s="721">
        <v>2245.7925</v>
      </c>
    </row>
    <row r="173" spans="1:5" ht="15">
      <c r="A173" s="463" t="s">
        <v>384</v>
      </c>
      <c r="B173" s="717"/>
      <c r="C173" s="717"/>
      <c r="D173" s="462">
        <v>0</v>
      </c>
      <c r="E173" s="721"/>
    </row>
    <row r="174" spans="1:5" ht="15">
      <c r="A174" s="463" t="s">
        <v>272</v>
      </c>
      <c r="B174" s="717"/>
      <c r="C174" s="717"/>
      <c r="D174" s="462">
        <v>0</v>
      </c>
      <c r="E174" s="721"/>
    </row>
    <row r="175" spans="1:5" ht="15">
      <c r="A175" s="463" t="s">
        <v>385</v>
      </c>
      <c r="B175" s="717">
        <v>6</v>
      </c>
      <c r="C175" s="717" t="s">
        <v>253</v>
      </c>
      <c r="D175" s="462">
        <v>2886.1379999999999</v>
      </c>
      <c r="E175" s="721">
        <v>17316.828000000001</v>
      </c>
    </row>
    <row r="176" spans="1:5" ht="15">
      <c r="A176" s="463" t="s">
        <v>274</v>
      </c>
      <c r="B176" s="717"/>
      <c r="C176" s="717"/>
      <c r="D176" s="462">
        <v>0</v>
      </c>
      <c r="E176" s="721"/>
    </row>
    <row r="177" spans="1:5" ht="15">
      <c r="A177" s="463" t="s">
        <v>272</v>
      </c>
      <c r="B177" s="717"/>
      <c r="C177" s="717"/>
      <c r="D177" s="462">
        <v>0</v>
      </c>
      <c r="E177" s="721"/>
    </row>
    <row r="178" spans="1:5" ht="15">
      <c r="A178" s="463" t="s">
        <v>386</v>
      </c>
      <c r="B178" s="717">
        <v>3</v>
      </c>
      <c r="C178" s="717" t="s">
        <v>253</v>
      </c>
      <c r="D178" s="462">
        <v>4828.78125</v>
      </c>
      <c r="E178" s="721">
        <v>14486.34375</v>
      </c>
    </row>
    <row r="179" spans="1:5" ht="15">
      <c r="A179" s="463" t="s">
        <v>276</v>
      </c>
      <c r="B179" s="717"/>
      <c r="C179" s="717"/>
      <c r="D179" s="462">
        <v>0</v>
      </c>
      <c r="E179" s="721"/>
    </row>
    <row r="180" spans="1:5" ht="15">
      <c r="A180" s="463" t="s">
        <v>277</v>
      </c>
      <c r="B180" s="717"/>
      <c r="C180" s="717"/>
      <c r="D180" s="462">
        <v>0</v>
      </c>
      <c r="E180" s="721"/>
    </row>
    <row r="181" spans="1:5" ht="15">
      <c r="A181" s="463" t="s">
        <v>387</v>
      </c>
      <c r="B181" s="717">
        <v>3</v>
      </c>
      <c r="C181" s="717" t="s">
        <v>253</v>
      </c>
      <c r="D181" s="462">
        <v>5361.7477500000005</v>
      </c>
      <c r="E181" s="721">
        <v>16085.243250000001</v>
      </c>
    </row>
    <row r="182" spans="1:5" ht="15">
      <c r="A182" s="463" t="s">
        <v>279</v>
      </c>
      <c r="B182" s="717"/>
      <c r="C182" s="717"/>
      <c r="D182" s="462">
        <v>0</v>
      </c>
      <c r="E182" s="721"/>
    </row>
    <row r="183" spans="1:5" ht="15">
      <c r="A183" s="463" t="s">
        <v>277</v>
      </c>
      <c r="B183" s="717"/>
      <c r="C183" s="717"/>
      <c r="D183" s="462">
        <v>0</v>
      </c>
      <c r="E183" s="721"/>
    </row>
    <row r="184" spans="1:5" ht="15">
      <c r="A184" s="463" t="s">
        <v>388</v>
      </c>
      <c r="B184" s="717">
        <v>11</v>
      </c>
      <c r="C184" s="717" t="s">
        <v>253</v>
      </c>
      <c r="D184" s="462">
        <v>6784.5194999999994</v>
      </c>
      <c r="E184" s="721">
        <v>74629.714499999987</v>
      </c>
    </row>
    <row r="185" spans="1:5" ht="15">
      <c r="A185" s="463" t="s">
        <v>281</v>
      </c>
      <c r="B185" s="717"/>
      <c r="C185" s="717"/>
      <c r="D185" s="462">
        <v>0</v>
      </c>
      <c r="E185" s="721"/>
    </row>
    <row r="186" spans="1:5" ht="15">
      <c r="A186" s="463" t="s">
        <v>277</v>
      </c>
      <c r="B186" s="717"/>
      <c r="C186" s="717"/>
      <c r="D186" s="462">
        <v>0</v>
      </c>
      <c r="E186" s="721"/>
    </row>
    <row r="187" spans="1:5" ht="15">
      <c r="A187" s="463" t="s">
        <v>389</v>
      </c>
      <c r="B187" s="717">
        <v>6</v>
      </c>
      <c r="C187" s="717" t="s">
        <v>253</v>
      </c>
      <c r="D187" s="462">
        <v>1706.2784999999999</v>
      </c>
      <c r="E187" s="721">
        <v>10237.670999999998</v>
      </c>
    </row>
    <row r="188" spans="1:5" ht="15">
      <c r="A188" s="463" t="s">
        <v>390</v>
      </c>
      <c r="B188" s="717"/>
      <c r="C188" s="717"/>
      <c r="D188" s="462">
        <v>0</v>
      </c>
      <c r="E188" s="721"/>
    </row>
    <row r="189" spans="1:5" ht="15">
      <c r="A189" s="463" t="s">
        <v>284</v>
      </c>
      <c r="B189" s="717"/>
      <c r="C189" s="717"/>
      <c r="D189" s="462">
        <v>0</v>
      </c>
      <c r="E189" s="721"/>
    </row>
    <row r="190" spans="1:5" ht="15">
      <c r="A190" s="463" t="s">
        <v>391</v>
      </c>
      <c r="B190" s="717">
        <v>5</v>
      </c>
      <c r="C190" s="717" t="s">
        <v>253</v>
      </c>
      <c r="D190" s="462">
        <v>1938.7147500000001</v>
      </c>
      <c r="E190" s="721">
        <v>9693.5737499999996</v>
      </c>
    </row>
    <row r="191" spans="1:5" ht="15">
      <c r="A191" s="463" t="s">
        <v>392</v>
      </c>
      <c r="B191" s="717"/>
      <c r="C191" s="717"/>
      <c r="D191" s="462">
        <v>0</v>
      </c>
      <c r="E191" s="721"/>
    </row>
    <row r="192" spans="1:5" ht="15">
      <c r="A192" s="463" t="s">
        <v>284</v>
      </c>
      <c r="B192" s="717"/>
      <c r="C192" s="717"/>
      <c r="D192" s="462">
        <v>0</v>
      </c>
      <c r="E192" s="721"/>
    </row>
    <row r="193" spans="1:5" ht="15">
      <c r="A193" s="463" t="s">
        <v>393</v>
      </c>
      <c r="B193" s="717">
        <v>5</v>
      </c>
      <c r="C193" s="717" t="s">
        <v>253</v>
      </c>
      <c r="D193" s="462">
        <v>4862.1734999999999</v>
      </c>
      <c r="E193" s="721">
        <v>24310.8675</v>
      </c>
    </row>
    <row r="194" spans="1:5" ht="15">
      <c r="A194" s="463" t="s">
        <v>283</v>
      </c>
      <c r="B194" s="717"/>
      <c r="C194" s="717"/>
      <c r="D194" s="462">
        <v>0</v>
      </c>
      <c r="E194" s="721"/>
    </row>
    <row r="195" spans="1:5" ht="15">
      <c r="A195" s="463" t="s">
        <v>284</v>
      </c>
      <c r="B195" s="717"/>
      <c r="C195" s="717"/>
      <c r="D195" s="462">
        <v>0</v>
      </c>
      <c r="E195" s="721"/>
    </row>
    <row r="196" spans="1:5" ht="15">
      <c r="A196" s="463" t="s">
        <v>394</v>
      </c>
      <c r="B196" s="717">
        <v>1</v>
      </c>
      <c r="C196" s="717" t="s">
        <v>253</v>
      </c>
      <c r="D196" s="462">
        <v>5435.7344999999996</v>
      </c>
      <c r="E196" s="721">
        <v>5435.7344999999996</v>
      </c>
    </row>
    <row r="197" spans="1:5" ht="15">
      <c r="A197" s="463" t="s">
        <v>395</v>
      </c>
      <c r="B197" s="717"/>
      <c r="C197" s="717"/>
      <c r="D197" s="462">
        <v>0</v>
      </c>
      <c r="E197" s="721"/>
    </row>
    <row r="198" spans="1:5" ht="15">
      <c r="A198" s="463" t="s">
        <v>284</v>
      </c>
      <c r="B198" s="717"/>
      <c r="C198" s="717"/>
      <c r="D198" s="462">
        <v>0</v>
      </c>
      <c r="E198" s="721"/>
    </row>
    <row r="199" spans="1:5" ht="15">
      <c r="A199" s="461" t="s">
        <v>396</v>
      </c>
      <c r="B199" s="717">
        <v>6</v>
      </c>
      <c r="C199" s="717" t="s">
        <v>253</v>
      </c>
      <c r="D199" s="462">
        <v>5968.701</v>
      </c>
      <c r="E199" s="721">
        <v>35812.205999999998</v>
      </c>
    </row>
    <row r="200" spans="1:5" ht="15">
      <c r="A200" s="463" t="s">
        <v>286</v>
      </c>
      <c r="B200" s="717"/>
      <c r="C200" s="717"/>
      <c r="D200" s="462">
        <v>0</v>
      </c>
      <c r="E200" s="721"/>
    </row>
    <row r="201" spans="1:5" ht="15">
      <c r="A201" s="463" t="s">
        <v>284</v>
      </c>
      <c r="B201" s="717"/>
      <c r="C201" s="717"/>
      <c r="D201" s="462">
        <v>0</v>
      </c>
      <c r="E201" s="721"/>
    </row>
    <row r="202" spans="1:5" ht="15">
      <c r="A202" s="463" t="s">
        <v>397</v>
      </c>
      <c r="B202" s="717">
        <v>3</v>
      </c>
      <c r="C202" s="717" t="s">
        <v>253</v>
      </c>
      <c r="D202" s="462">
        <v>8949.1229999999996</v>
      </c>
      <c r="E202" s="721">
        <v>26847.368999999999</v>
      </c>
    </row>
    <row r="203" spans="1:5" ht="15">
      <c r="A203" s="463" t="s">
        <v>288</v>
      </c>
      <c r="B203" s="717"/>
      <c r="C203" s="717"/>
      <c r="D203" s="462">
        <v>0</v>
      </c>
      <c r="E203" s="721"/>
    </row>
    <row r="204" spans="1:5" ht="15">
      <c r="A204" s="463" t="s">
        <v>284</v>
      </c>
      <c r="B204" s="717"/>
      <c r="C204" s="717"/>
      <c r="D204" s="462">
        <v>0</v>
      </c>
      <c r="E204" s="721"/>
    </row>
    <row r="205" spans="1:5" ht="15">
      <c r="A205" s="463" t="s">
        <v>398</v>
      </c>
      <c r="B205" s="717">
        <v>3</v>
      </c>
      <c r="C205" s="717" t="s">
        <v>253</v>
      </c>
      <c r="D205" s="462">
        <v>10244.218500000001</v>
      </c>
      <c r="E205" s="721">
        <v>30732.655500000001</v>
      </c>
    </row>
    <row r="206" spans="1:5" ht="15">
      <c r="A206" s="463" t="s">
        <v>290</v>
      </c>
      <c r="B206" s="717"/>
      <c r="C206" s="717"/>
      <c r="D206" s="462">
        <v>0</v>
      </c>
      <c r="E206" s="721"/>
    </row>
    <row r="207" spans="1:5" ht="15">
      <c r="A207" s="463" t="s">
        <v>284</v>
      </c>
      <c r="B207" s="717"/>
      <c r="C207" s="717"/>
      <c r="D207" s="462">
        <v>0</v>
      </c>
      <c r="E207" s="721"/>
    </row>
    <row r="208" spans="1:5" ht="15">
      <c r="A208" s="463" t="s">
        <v>399</v>
      </c>
      <c r="B208" s="717">
        <v>11</v>
      </c>
      <c r="C208" s="719" t="s">
        <v>253</v>
      </c>
      <c r="D208" s="462">
        <v>11835.91575</v>
      </c>
      <c r="E208" s="721">
        <v>130195.07325</v>
      </c>
    </row>
    <row r="209" spans="1:5" ht="15">
      <c r="A209" s="463" t="s">
        <v>292</v>
      </c>
      <c r="B209" s="717"/>
      <c r="C209" s="719"/>
      <c r="D209" s="462">
        <v>0</v>
      </c>
      <c r="E209" s="721"/>
    </row>
    <row r="210" spans="1:5" ht="15">
      <c r="A210" s="464" t="s">
        <v>400</v>
      </c>
      <c r="B210" s="717">
        <v>48</v>
      </c>
      <c r="C210" s="719" t="s">
        <v>253</v>
      </c>
      <c r="D210" s="462">
        <v>212.79374999999999</v>
      </c>
      <c r="E210" s="721">
        <v>10214.099999999999</v>
      </c>
    </row>
    <row r="211" spans="1:5" ht="15">
      <c r="A211" s="466" t="s">
        <v>294</v>
      </c>
      <c r="B211" s="717"/>
      <c r="C211" s="719"/>
      <c r="D211" s="462">
        <v>0</v>
      </c>
      <c r="E211" s="721"/>
    </row>
    <row r="212" spans="1:5" ht="15">
      <c r="A212" s="463" t="s">
        <v>401</v>
      </c>
      <c r="B212" s="717">
        <v>32</v>
      </c>
      <c r="C212" s="717" t="s">
        <v>253</v>
      </c>
      <c r="D212" s="462">
        <v>222.61500000000001</v>
      </c>
      <c r="E212" s="721">
        <v>7123.68</v>
      </c>
    </row>
    <row r="213" spans="1:5" ht="15">
      <c r="A213" s="463" t="s">
        <v>296</v>
      </c>
      <c r="B213" s="717"/>
      <c r="C213" s="717"/>
      <c r="D213" s="462">
        <v>0</v>
      </c>
      <c r="E213" s="721"/>
    </row>
    <row r="214" spans="1:5" ht="30">
      <c r="A214" s="463" t="s">
        <v>297</v>
      </c>
      <c r="B214" s="717"/>
      <c r="C214" s="717"/>
      <c r="D214" s="462">
        <v>0</v>
      </c>
      <c r="E214" s="721"/>
    </row>
    <row r="215" spans="1:5" ht="15">
      <c r="A215" s="463" t="s">
        <v>402</v>
      </c>
      <c r="B215" s="717">
        <v>26</v>
      </c>
      <c r="C215" s="717" t="s">
        <v>253</v>
      </c>
      <c r="D215" s="462">
        <v>242.25749999999999</v>
      </c>
      <c r="E215" s="721">
        <v>6298.6949999999997</v>
      </c>
    </row>
    <row r="216" spans="1:5" ht="15">
      <c r="A216" s="463" t="s">
        <v>299</v>
      </c>
      <c r="B216" s="717"/>
      <c r="C216" s="717"/>
      <c r="D216" s="462">
        <v>0</v>
      </c>
      <c r="E216" s="721"/>
    </row>
    <row r="217" spans="1:5" ht="15">
      <c r="A217" s="463" t="s">
        <v>300</v>
      </c>
      <c r="B217" s="717"/>
      <c r="C217" s="717"/>
      <c r="D217" s="462">
        <v>0</v>
      </c>
      <c r="E217" s="721"/>
    </row>
    <row r="218" spans="1:5" ht="15">
      <c r="A218" s="463" t="s">
        <v>403</v>
      </c>
      <c r="B218" s="717">
        <v>14</v>
      </c>
      <c r="C218" s="719" t="s">
        <v>302</v>
      </c>
      <c r="D218" s="462">
        <v>2814.1154999999999</v>
      </c>
      <c r="E218" s="721">
        <v>39397.616999999998</v>
      </c>
    </row>
    <row r="219" spans="1:5" ht="15">
      <c r="A219" s="463" t="s">
        <v>303</v>
      </c>
      <c r="B219" s="717"/>
      <c r="C219" s="719"/>
      <c r="D219" s="462">
        <v>0</v>
      </c>
      <c r="E219" s="721"/>
    </row>
    <row r="220" spans="1:5" ht="30">
      <c r="A220" s="463" t="s">
        <v>304</v>
      </c>
      <c r="B220" s="717"/>
      <c r="C220" s="719"/>
      <c r="D220" s="462">
        <v>0</v>
      </c>
      <c r="E220" s="721"/>
    </row>
    <row r="221" spans="1:5" ht="15">
      <c r="A221" s="463" t="s">
        <v>404</v>
      </c>
      <c r="B221" s="717">
        <v>40</v>
      </c>
      <c r="C221" s="719" t="s">
        <v>302</v>
      </c>
      <c r="D221" s="462">
        <v>64.165500000000009</v>
      </c>
      <c r="E221" s="721">
        <v>2566.6200000000003</v>
      </c>
    </row>
    <row r="222" spans="1:5" ht="15">
      <c r="A222" s="463" t="s">
        <v>306</v>
      </c>
      <c r="B222" s="717"/>
      <c r="C222" s="719"/>
      <c r="D222" s="462">
        <v>0</v>
      </c>
      <c r="E222" s="721"/>
    </row>
    <row r="223" spans="1:5" ht="30">
      <c r="A223" s="463" t="s">
        <v>307</v>
      </c>
      <c r="B223" s="717"/>
      <c r="C223" s="719"/>
      <c r="D223" s="462">
        <v>0</v>
      </c>
      <c r="E223" s="721"/>
    </row>
    <row r="224" spans="1:5" ht="15">
      <c r="A224" s="463" t="s">
        <v>405</v>
      </c>
      <c r="B224" s="717">
        <v>16</v>
      </c>
      <c r="C224" s="719" t="s">
        <v>302</v>
      </c>
      <c r="D224" s="462">
        <v>18.987749999999998</v>
      </c>
      <c r="E224" s="721">
        <v>303.80399999999997</v>
      </c>
    </row>
    <row r="225" spans="1:5" ht="15">
      <c r="A225" s="463" t="s">
        <v>309</v>
      </c>
      <c r="B225" s="717"/>
      <c r="C225" s="719"/>
      <c r="D225" s="462">
        <v>0</v>
      </c>
      <c r="E225" s="721"/>
    </row>
    <row r="226" spans="1:5" ht="15">
      <c r="A226" s="463" t="s">
        <v>310</v>
      </c>
      <c r="B226" s="717"/>
      <c r="C226" s="719"/>
      <c r="D226" s="462">
        <v>0</v>
      </c>
      <c r="E226" s="721"/>
    </row>
    <row r="227" spans="1:5" ht="15">
      <c r="A227" s="463" t="s">
        <v>406</v>
      </c>
      <c r="B227" s="717">
        <v>40</v>
      </c>
      <c r="C227" s="719" t="s">
        <v>253</v>
      </c>
      <c r="D227" s="462">
        <v>21.606749999999998</v>
      </c>
      <c r="E227" s="721">
        <v>864.27</v>
      </c>
    </row>
    <row r="228" spans="1:5" ht="15">
      <c r="A228" s="463" t="s">
        <v>312</v>
      </c>
      <c r="B228" s="717"/>
      <c r="C228" s="719"/>
      <c r="D228" s="462">
        <v>0</v>
      </c>
      <c r="E228" s="721"/>
    </row>
    <row r="229" spans="1:5" ht="15">
      <c r="A229" s="463" t="s">
        <v>407</v>
      </c>
      <c r="B229" s="717">
        <v>40</v>
      </c>
      <c r="C229" s="719" t="s">
        <v>302</v>
      </c>
      <c r="D229" s="462">
        <v>158.4495</v>
      </c>
      <c r="E229" s="721">
        <v>6337.98</v>
      </c>
    </row>
    <row r="230" spans="1:5" ht="15">
      <c r="A230" s="463" t="s">
        <v>314</v>
      </c>
      <c r="B230" s="717"/>
      <c r="C230" s="719"/>
      <c r="D230" s="462">
        <v>0</v>
      </c>
      <c r="E230" s="721"/>
    </row>
    <row r="231" spans="1:5" ht="15">
      <c r="A231" s="463" t="s">
        <v>315</v>
      </c>
      <c r="B231" s="717"/>
      <c r="C231" s="719"/>
      <c r="D231" s="462">
        <v>0</v>
      </c>
      <c r="E231" s="721"/>
    </row>
    <row r="232" spans="1:5" ht="15">
      <c r="A232" s="463" t="s">
        <v>408</v>
      </c>
      <c r="B232" s="717">
        <v>633</v>
      </c>
      <c r="C232" s="719" t="s">
        <v>317</v>
      </c>
      <c r="D232" s="462">
        <v>9.166500000000001</v>
      </c>
      <c r="E232" s="721">
        <v>5802.3945000000003</v>
      </c>
    </row>
    <row r="233" spans="1:5" ht="15">
      <c r="A233" s="463" t="s">
        <v>318</v>
      </c>
      <c r="B233" s="717"/>
      <c r="C233" s="719"/>
      <c r="D233" s="462">
        <v>0</v>
      </c>
      <c r="E233" s="721"/>
    </row>
    <row r="234" spans="1:5" ht="15">
      <c r="A234" s="463" t="s">
        <v>409</v>
      </c>
      <c r="B234" s="717">
        <v>271</v>
      </c>
      <c r="C234" s="719" t="s">
        <v>317</v>
      </c>
      <c r="D234" s="462">
        <v>12.440249999999999</v>
      </c>
      <c r="E234" s="721">
        <v>3371.3077499999995</v>
      </c>
    </row>
    <row r="235" spans="1:5" ht="15">
      <c r="A235" s="463" t="s">
        <v>410</v>
      </c>
      <c r="B235" s="717"/>
      <c r="C235" s="719"/>
      <c r="D235" s="462">
        <v>0</v>
      </c>
      <c r="E235" s="721"/>
    </row>
    <row r="236" spans="1:5" ht="15">
      <c r="A236" s="463" t="s">
        <v>411</v>
      </c>
      <c r="B236" s="717">
        <v>147</v>
      </c>
      <c r="C236" s="719" t="s">
        <v>317</v>
      </c>
      <c r="D236" s="462">
        <v>15.059250000000002</v>
      </c>
      <c r="E236" s="721">
        <v>2213.7097500000004</v>
      </c>
    </row>
    <row r="237" spans="1:5" ht="15">
      <c r="A237" s="463" t="s">
        <v>412</v>
      </c>
      <c r="B237" s="717"/>
      <c r="C237" s="719"/>
      <c r="D237" s="462">
        <v>0</v>
      </c>
      <c r="E237" s="721"/>
    </row>
    <row r="238" spans="1:5" ht="15">
      <c r="A238" s="463" t="s">
        <v>413</v>
      </c>
      <c r="B238" s="717">
        <v>317</v>
      </c>
      <c r="C238" s="719" t="s">
        <v>317</v>
      </c>
      <c r="D238" s="462">
        <v>17.678249999999998</v>
      </c>
      <c r="E238" s="721">
        <v>5604.0052499999993</v>
      </c>
    </row>
    <row r="239" spans="1:5" ht="15">
      <c r="A239" s="463" t="s">
        <v>320</v>
      </c>
      <c r="B239" s="717"/>
      <c r="C239" s="719"/>
      <c r="D239" s="462">
        <v>0</v>
      </c>
      <c r="E239" s="721"/>
    </row>
    <row r="240" spans="1:5" ht="15">
      <c r="A240" s="463" t="s">
        <v>414</v>
      </c>
      <c r="B240" s="717">
        <v>817</v>
      </c>
      <c r="C240" s="719" t="s">
        <v>317</v>
      </c>
      <c r="D240" s="462">
        <v>24.225750000000001</v>
      </c>
      <c r="E240" s="721">
        <v>19792.437750000001</v>
      </c>
    </row>
    <row r="241" spans="1:5" ht="15">
      <c r="A241" s="463" t="s">
        <v>322</v>
      </c>
      <c r="B241" s="717"/>
      <c r="C241" s="719"/>
      <c r="D241" s="462">
        <v>0</v>
      </c>
      <c r="E241" s="721"/>
    </row>
    <row r="242" spans="1:5" ht="15">
      <c r="A242" s="463" t="s">
        <v>415</v>
      </c>
      <c r="B242" s="717">
        <v>1150</v>
      </c>
      <c r="C242" s="719" t="s">
        <v>317</v>
      </c>
      <c r="D242" s="462">
        <v>32.514884999999992</v>
      </c>
      <c r="E242" s="721">
        <v>37392.11774999999</v>
      </c>
    </row>
    <row r="243" spans="1:5" ht="15">
      <c r="A243" s="463" t="s">
        <v>326</v>
      </c>
      <c r="B243" s="717"/>
      <c r="C243" s="719"/>
      <c r="D243" s="462">
        <v>0</v>
      </c>
      <c r="E243" s="721"/>
    </row>
    <row r="244" spans="1:5" ht="15">
      <c r="A244" s="463" t="s">
        <v>416</v>
      </c>
      <c r="B244" s="717">
        <v>408</v>
      </c>
      <c r="C244" s="719" t="s">
        <v>317</v>
      </c>
      <c r="D244" s="462">
        <v>45.315247499999998</v>
      </c>
      <c r="E244" s="721">
        <v>18488.62098</v>
      </c>
    </row>
    <row r="245" spans="1:5" ht="15">
      <c r="A245" s="463" t="s">
        <v>328</v>
      </c>
      <c r="B245" s="717"/>
      <c r="C245" s="719"/>
      <c r="D245" s="462">
        <v>0</v>
      </c>
      <c r="E245" s="721"/>
    </row>
    <row r="246" spans="1:5" ht="15">
      <c r="A246" s="463" t="s">
        <v>417</v>
      </c>
      <c r="B246" s="717">
        <v>1841</v>
      </c>
      <c r="C246" s="719" t="s">
        <v>317</v>
      </c>
      <c r="D246" s="462">
        <v>58.809644999999996</v>
      </c>
      <c r="E246" s="721">
        <v>108268.55644499999</v>
      </c>
    </row>
    <row r="247" spans="1:5" ht="15">
      <c r="A247" s="463" t="s">
        <v>418</v>
      </c>
      <c r="B247" s="717"/>
      <c r="C247" s="719"/>
      <c r="D247" s="462">
        <v>0</v>
      </c>
      <c r="E247" s="721"/>
    </row>
    <row r="248" spans="1:5" ht="15">
      <c r="A248" s="463" t="s">
        <v>419</v>
      </c>
      <c r="B248" s="717">
        <v>213</v>
      </c>
      <c r="C248" s="719" t="s">
        <v>253</v>
      </c>
      <c r="D248" s="462">
        <v>74.3730525</v>
      </c>
      <c r="E248" s="721">
        <v>15841.460182500001</v>
      </c>
    </row>
    <row r="249" spans="1:5" ht="15">
      <c r="A249" s="463" t="s">
        <v>420</v>
      </c>
      <c r="B249" s="717"/>
      <c r="C249" s="719"/>
      <c r="D249" s="462">
        <v>0</v>
      </c>
      <c r="E249" s="721"/>
    </row>
    <row r="250" spans="1:5" ht="15">
      <c r="A250" s="463" t="s">
        <v>421</v>
      </c>
      <c r="B250" s="717">
        <v>9273</v>
      </c>
      <c r="C250" s="719" t="s">
        <v>302</v>
      </c>
      <c r="D250" s="462">
        <v>170.88974999999999</v>
      </c>
      <c r="E250" s="721">
        <v>1584660.65175</v>
      </c>
    </row>
    <row r="251" spans="1:5" ht="15">
      <c r="A251" s="463" t="s">
        <v>330</v>
      </c>
      <c r="B251" s="717"/>
      <c r="C251" s="719"/>
      <c r="D251" s="462">
        <v>0</v>
      </c>
      <c r="E251" s="721"/>
    </row>
    <row r="252" spans="1:5" ht="15">
      <c r="A252" s="463" t="s">
        <v>331</v>
      </c>
      <c r="B252" s="717"/>
      <c r="C252" s="719"/>
      <c r="D252" s="462">
        <v>0</v>
      </c>
      <c r="E252" s="721"/>
    </row>
    <row r="253" spans="1:5" ht="15">
      <c r="A253" s="456" t="s">
        <v>422</v>
      </c>
      <c r="B253" s="457"/>
      <c r="C253" s="458"/>
      <c r="D253" s="459">
        <v>0</v>
      </c>
      <c r="E253" s="460"/>
    </row>
    <row r="254" spans="1:5" ht="15">
      <c r="A254" s="461" t="s">
        <v>423</v>
      </c>
      <c r="B254" s="717">
        <v>24</v>
      </c>
      <c r="C254" s="719" t="s">
        <v>302</v>
      </c>
      <c r="D254" s="462">
        <v>8841.7440000000006</v>
      </c>
      <c r="E254" s="721">
        <v>212201.85600000003</v>
      </c>
    </row>
    <row r="255" spans="1:5" ht="15">
      <c r="A255" s="463" t="s">
        <v>424</v>
      </c>
      <c r="B255" s="717"/>
      <c r="C255" s="719"/>
      <c r="D255" s="462">
        <v>0</v>
      </c>
      <c r="E255" s="721"/>
    </row>
    <row r="256" spans="1:5" ht="15">
      <c r="A256" s="463" t="s">
        <v>425</v>
      </c>
      <c r="B256" s="717"/>
      <c r="C256" s="719"/>
      <c r="D256" s="462">
        <v>0</v>
      </c>
      <c r="E256" s="721"/>
    </row>
    <row r="257" spans="1:5" ht="15">
      <c r="A257" s="461" t="s">
        <v>426</v>
      </c>
      <c r="B257" s="717">
        <v>24</v>
      </c>
      <c r="C257" s="719" t="s">
        <v>253</v>
      </c>
      <c r="D257" s="462">
        <v>5968.701</v>
      </c>
      <c r="E257" s="721">
        <v>143248.82399999999</v>
      </c>
    </row>
    <row r="258" spans="1:5" ht="15">
      <c r="A258" s="463" t="s">
        <v>286</v>
      </c>
      <c r="B258" s="717"/>
      <c r="C258" s="719"/>
      <c r="D258" s="462">
        <v>0</v>
      </c>
      <c r="E258" s="721"/>
    </row>
    <row r="259" spans="1:5" ht="15">
      <c r="A259" s="463" t="s">
        <v>284</v>
      </c>
      <c r="B259" s="717"/>
      <c r="C259" s="719"/>
      <c r="D259" s="462">
        <v>0</v>
      </c>
      <c r="E259" s="721"/>
    </row>
    <row r="260" spans="1:5">
      <c r="A260" s="467" t="s">
        <v>427</v>
      </c>
      <c r="B260" s="723">
        <v>96</v>
      </c>
      <c r="C260" s="724" t="s">
        <v>253</v>
      </c>
      <c r="D260" s="468">
        <v>212.79374999999999</v>
      </c>
      <c r="E260" s="725">
        <v>20428.199999999997</v>
      </c>
    </row>
    <row r="261" spans="1:5">
      <c r="A261" s="469" t="s">
        <v>294</v>
      </c>
      <c r="B261" s="723"/>
      <c r="C261" s="724"/>
      <c r="D261" s="468">
        <v>0</v>
      </c>
      <c r="E261" s="725"/>
    </row>
    <row r="262" spans="1:5">
      <c r="A262" s="467" t="s">
        <v>428</v>
      </c>
      <c r="B262" s="723">
        <v>24</v>
      </c>
      <c r="C262" s="724" t="s">
        <v>253</v>
      </c>
      <c r="D262" s="468">
        <v>222.61500000000001</v>
      </c>
      <c r="E262" s="725">
        <v>5342.76</v>
      </c>
    </row>
    <row r="263" spans="1:5">
      <c r="A263" s="469" t="s">
        <v>296</v>
      </c>
      <c r="B263" s="723"/>
      <c r="C263" s="724"/>
      <c r="D263" s="468">
        <v>0</v>
      </c>
      <c r="E263" s="725"/>
    </row>
    <row r="264" spans="1:5" ht="27.95">
      <c r="A264" s="469" t="s">
        <v>297</v>
      </c>
      <c r="B264" s="723"/>
      <c r="C264" s="724"/>
      <c r="D264" s="468">
        <v>0</v>
      </c>
      <c r="E264" s="725"/>
    </row>
    <row r="265" spans="1:5">
      <c r="A265" s="467" t="s">
        <v>429</v>
      </c>
      <c r="B265" s="723">
        <v>24</v>
      </c>
      <c r="C265" s="724" t="s">
        <v>253</v>
      </c>
      <c r="D265" s="468">
        <v>242.25749999999999</v>
      </c>
      <c r="E265" s="725">
        <v>5814.18</v>
      </c>
    </row>
    <row r="266" spans="1:5">
      <c r="A266" s="469" t="s">
        <v>299</v>
      </c>
      <c r="B266" s="723"/>
      <c r="C266" s="724"/>
      <c r="D266" s="468">
        <v>0</v>
      </c>
      <c r="E266" s="725"/>
    </row>
    <row r="267" spans="1:5" ht="27.95">
      <c r="A267" s="469" t="s">
        <v>300</v>
      </c>
      <c r="B267" s="723"/>
      <c r="C267" s="724"/>
      <c r="D267" s="468">
        <v>0</v>
      </c>
      <c r="E267" s="725"/>
    </row>
    <row r="268" spans="1:5">
      <c r="A268" s="467" t="s">
        <v>430</v>
      </c>
      <c r="B268" s="723">
        <v>24</v>
      </c>
      <c r="C268" s="724" t="s">
        <v>253</v>
      </c>
      <c r="D268" s="468">
        <v>21.606749999999998</v>
      </c>
      <c r="E268" s="725">
        <v>518.5619999999999</v>
      </c>
    </row>
    <row r="269" spans="1:5">
      <c r="A269" s="469" t="s">
        <v>312</v>
      </c>
      <c r="B269" s="723"/>
      <c r="C269" s="724"/>
      <c r="D269" s="468">
        <v>0</v>
      </c>
      <c r="E269" s="725"/>
    </row>
    <row r="270" spans="1:5">
      <c r="A270" s="467" t="s">
        <v>431</v>
      </c>
      <c r="B270" s="723">
        <v>24</v>
      </c>
      <c r="C270" s="724" t="s">
        <v>253</v>
      </c>
      <c r="D270" s="468">
        <v>158.4495</v>
      </c>
      <c r="E270" s="725">
        <v>3802.788</v>
      </c>
    </row>
    <row r="271" spans="1:5">
      <c r="A271" s="469" t="s">
        <v>314</v>
      </c>
      <c r="B271" s="723"/>
      <c r="C271" s="724"/>
      <c r="D271" s="468">
        <v>0</v>
      </c>
      <c r="E271" s="725"/>
    </row>
    <row r="272" spans="1:5">
      <c r="A272" s="469" t="s">
        <v>315</v>
      </c>
      <c r="B272" s="723"/>
      <c r="C272" s="724"/>
      <c r="D272" s="468">
        <v>0</v>
      </c>
      <c r="E272" s="725"/>
    </row>
    <row r="273" spans="1:5">
      <c r="A273" s="467" t="s">
        <v>432</v>
      </c>
      <c r="B273" s="723">
        <v>24</v>
      </c>
      <c r="C273" s="724" t="s">
        <v>253</v>
      </c>
      <c r="D273" s="468">
        <v>187.2585</v>
      </c>
      <c r="E273" s="725">
        <v>4494.2039999999997</v>
      </c>
    </row>
    <row r="274" spans="1:5">
      <c r="A274" s="469" t="s">
        <v>433</v>
      </c>
      <c r="B274" s="723"/>
      <c r="C274" s="724"/>
      <c r="D274" s="468">
        <v>0</v>
      </c>
      <c r="E274" s="725"/>
    </row>
    <row r="275" spans="1:5">
      <c r="A275" s="469" t="s">
        <v>434</v>
      </c>
      <c r="B275" s="723"/>
      <c r="C275" s="724"/>
      <c r="D275" s="468">
        <v>0</v>
      </c>
      <c r="E275" s="725"/>
    </row>
    <row r="276" spans="1:5">
      <c r="A276" s="467" t="s">
        <v>435</v>
      </c>
      <c r="B276" s="723">
        <v>24</v>
      </c>
      <c r="C276" s="724" t="s">
        <v>253</v>
      </c>
      <c r="D276" s="468">
        <v>17.678249999999998</v>
      </c>
      <c r="E276" s="725">
        <v>424.27799999999996</v>
      </c>
    </row>
    <row r="277" spans="1:5">
      <c r="A277" s="469" t="s">
        <v>436</v>
      </c>
      <c r="B277" s="723"/>
      <c r="C277" s="724"/>
      <c r="D277" s="468">
        <v>0</v>
      </c>
      <c r="E277" s="725"/>
    </row>
    <row r="278" spans="1:5">
      <c r="A278" s="469" t="s">
        <v>437</v>
      </c>
      <c r="B278" s="723"/>
      <c r="C278" s="724"/>
      <c r="D278" s="468">
        <v>0</v>
      </c>
      <c r="E278" s="725"/>
    </row>
    <row r="279" spans="1:5">
      <c r="A279" s="469" t="s">
        <v>438</v>
      </c>
      <c r="B279" s="723">
        <v>24</v>
      </c>
      <c r="C279" s="724" t="s">
        <v>253</v>
      </c>
      <c r="D279" s="468">
        <v>20.297249999999998</v>
      </c>
      <c r="E279" s="725">
        <v>487.13399999999996</v>
      </c>
    </row>
    <row r="280" spans="1:5">
      <c r="A280" s="469" t="s">
        <v>439</v>
      </c>
      <c r="B280" s="723"/>
      <c r="C280" s="724"/>
      <c r="D280" s="468">
        <v>0</v>
      </c>
      <c r="E280" s="725"/>
    </row>
    <row r="281" spans="1:5">
      <c r="A281" s="469" t="s">
        <v>440</v>
      </c>
      <c r="B281" s="723"/>
      <c r="C281" s="724"/>
      <c r="D281" s="468">
        <v>0</v>
      </c>
      <c r="E281" s="725"/>
    </row>
    <row r="282" spans="1:5" ht="15">
      <c r="A282" s="456" t="s">
        <v>332</v>
      </c>
      <c r="B282" s="457"/>
      <c r="C282" s="458"/>
      <c r="D282" s="459">
        <v>0</v>
      </c>
      <c r="E282" s="460"/>
    </row>
    <row r="283" spans="1:5" ht="15">
      <c r="A283" s="461" t="s">
        <v>441</v>
      </c>
      <c r="B283" s="717">
        <v>2</v>
      </c>
      <c r="C283" s="719" t="s">
        <v>253</v>
      </c>
      <c r="D283" s="462">
        <v>126.36675</v>
      </c>
      <c r="E283" s="721">
        <v>252.73349999999999</v>
      </c>
    </row>
    <row r="284" spans="1:5" ht="15">
      <c r="A284" s="463" t="s">
        <v>442</v>
      </c>
      <c r="B284" s="717"/>
      <c r="C284" s="719"/>
      <c r="D284" s="462">
        <v>0</v>
      </c>
      <c r="E284" s="721"/>
    </row>
    <row r="285" spans="1:5" ht="15">
      <c r="A285" s="463" t="s">
        <v>443</v>
      </c>
      <c r="B285" s="717"/>
      <c r="C285" s="719"/>
      <c r="D285" s="462">
        <v>0</v>
      </c>
      <c r="E285" s="721"/>
    </row>
    <row r="286" spans="1:5" ht="15">
      <c r="A286" s="461" t="s">
        <v>444</v>
      </c>
      <c r="B286" s="717">
        <v>2</v>
      </c>
      <c r="C286" s="719" t="s">
        <v>253</v>
      </c>
      <c r="D286" s="462">
        <v>83.15325</v>
      </c>
      <c r="E286" s="721">
        <v>166.3065</v>
      </c>
    </row>
    <row r="287" spans="1:5" ht="15">
      <c r="A287" s="463" t="s">
        <v>445</v>
      </c>
      <c r="B287" s="717"/>
      <c r="C287" s="719"/>
      <c r="D287" s="462">
        <v>0</v>
      </c>
      <c r="E287" s="721"/>
    </row>
    <row r="288" spans="1:5" ht="15">
      <c r="A288" s="463" t="s">
        <v>446</v>
      </c>
      <c r="B288" s="717"/>
      <c r="C288" s="719"/>
      <c r="D288" s="462">
        <v>0</v>
      </c>
      <c r="E288" s="721"/>
    </row>
    <row r="289" spans="1:5" ht="15">
      <c r="A289" s="461" t="s">
        <v>447</v>
      </c>
      <c r="B289" s="717">
        <v>2</v>
      </c>
      <c r="C289" s="719" t="s">
        <v>253</v>
      </c>
      <c r="D289" s="462">
        <v>339.16050000000001</v>
      </c>
      <c r="E289" s="721">
        <v>678.32100000000003</v>
      </c>
    </row>
    <row r="290" spans="1:5" ht="15">
      <c r="A290" s="463" t="s">
        <v>448</v>
      </c>
      <c r="B290" s="717"/>
      <c r="C290" s="719"/>
      <c r="D290" s="462">
        <v>0</v>
      </c>
      <c r="E290" s="721"/>
    </row>
    <row r="291" spans="1:5" ht="15">
      <c r="A291" s="463" t="s">
        <v>449</v>
      </c>
      <c r="B291" s="717"/>
      <c r="C291" s="719"/>
      <c r="D291" s="462">
        <v>0</v>
      </c>
      <c r="E291" s="721"/>
    </row>
    <row r="292" spans="1:5" ht="15">
      <c r="A292" s="463" t="s">
        <v>450</v>
      </c>
      <c r="B292" s="717">
        <v>1</v>
      </c>
      <c r="C292" s="719" t="s">
        <v>253</v>
      </c>
      <c r="D292" s="462">
        <v>130.29525000000001</v>
      </c>
      <c r="E292" s="721">
        <v>130.29525000000001</v>
      </c>
    </row>
    <row r="293" spans="1:5" ht="15">
      <c r="A293" s="463" t="s">
        <v>451</v>
      </c>
      <c r="B293" s="717"/>
      <c r="C293" s="719"/>
      <c r="D293" s="462">
        <v>0</v>
      </c>
      <c r="E293" s="721"/>
    </row>
    <row r="294" spans="1:5" ht="15">
      <c r="A294" s="463" t="s">
        <v>452</v>
      </c>
      <c r="B294" s="717"/>
      <c r="C294" s="719"/>
      <c r="D294" s="462">
        <v>0</v>
      </c>
      <c r="E294" s="721"/>
    </row>
    <row r="295" spans="1:5" ht="15">
      <c r="A295" s="463" t="s">
        <v>453</v>
      </c>
      <c r="B295" s="717">
        <v>1</v>
      </c>
      <c r="C295" s="719" t="s">
        <v>253</v>
      </c>
      <c r="D295" s="462">
        <v>83.15325</v>
      </c>
      <c r="E295" s="721">
        <v>83.15325</v>
      </c>
    </row>
    <row r="296" spans="1:5" ht="15">
      <c r="A296" s="463" t="s">
        <v>454</v>
      </c>
      <c r="B296" s="717"/>
      <c r="C296" s="719"/>
      <c r="D296" s="462">
        <v>0</v>
      </c>
      <c r="E296" s="721"/>
    </row>
    <row r="297" spans="1:5" ht="15">
      <c r="A297" s="463" t="s">
        <v>455</v>
      </c>
      <c r="B297" s="717"/>
      <c r="C297" s="719"/>
      <c r="D297" s="462">
        <v>0</v>
      </c>
      <c r="E297" s="721"/>
    </row>
    <row r="298" spans="1:5" ht="15">
      <c r="A298" s="463" t="s">
        <v>456</v>
      </c>
      <c r="B298" s="717">
        <v>2</v>
      </c>
      <c r="C298" s="719" t="s">
        <v>253</v>
      </c>
      <c r="D298" s="462">
        <v>126.36675</v>
      </c>
      <c r="E298" s="721">
        <v>252.73349999999999</v>
      </c>
    </row>
    <row r="299" spans="1:5" ht="15">
      <c r="A299" s="463" t="s">
        <v>457</v>
      </c>
      <c r="B299" s="717"/>
      <c r="C299" s="719"/>
      <c r="D299" s="462">
        <v>0</v>
      </c>
      <c r="E299" s="721"/>
    </row>
    <row r="300" spans="1:5" ht="15">
      <c r="A300" s="463" t="s">
        <v>458</v>
      </c>
      <c r="B300" s="717"/>
      <c r="C300" s="719"/>
      <c r="D300" s="462">
        <v>0</v>
      </c>
      <c r="E300" s="721"/>
    </row>
    <row r="301" spans="1:5" ht="15">
      <c r="A301" s="463" t="s">
        <v>459</v>
      </c>
      <c r="B301" s="717">
        <v>2</v>
      </c>
      <c r="C301" s="719" t="s">
        <v>253</v>
      </c>
      <c r="D301" s="462">
        <v>83.15325</v>
      </c>
      <c r="E301" s="721">
        <v>166.3065</v>
      </c>
    </row>
    <row r="302" spans="1:5" ht="15">
      <c r="A302" s="463" t="s">
        <v>445</v>
      </c>
      <c r="B302" s="717"/>
      <c r="C302" s="719"/>
      <c r="D302" s="462">
        <v>0</v>
      </c>
      <c r="E302" s="721"/>
    </row>
    <row r="303" spans="1:5" ht="15">
      <c r="A303" s="463" t="s">
        <v>446</v>
      </c>
      <c r="B303" s="717"/>
      <c r="C303" s="719"/>
      <c r="D303" s="462">
        <v>0</v>
      </c>
      <c r="E303" s="721"/>
    </row>
    <row r="304" spans="1:5" ht="15">
      <c r="A304" s="463" t="s">
        <v>460</v>
      </c>
      <c r="B304" s="717">
        <v>2</v>
      </c>
      <c r="C304" s="719" t="s">
        <v>253</v>
      </c>
      <c r="D304" s="462">
        <v>339.16050000000001</v>
      </c>
      <c r="E304" s="721">
        <v>678.32100000000003</v>
      </c>
    </row>
    <row r="305" spans="1:5" ht="15">
      <c r="A305" s="463" t="s">
        <v>448</v>
      </c>
      <c r="B305" s="717"/>
      <c r="C305" s="719"/>
      <c r="D305" s="462">
        <v>0</v>
      </c>
      <c r="E305" s="721"/>
    </row>
    <row r="306" spans="1:5" ht="15">
      <c r="A306" s="463" t="s">
        <v>449</v>
      </c>
      <c r="B306" s="717"/>
      <c r="C306" s="719"/>
      <c r="D306" s="462">
        <v>0</v>
      </c>
      <c r="E306" s="721"/>
    </row>
    <row r="307" spans="1:5" ht="15">
      <c r="A307" s="463" t="s">
        <v>461</v>
      </c>
      <c r="B307" s="717">
        <v>1</v>
      </c>
      <c r="C307" s="719" t="s">
        <v>253</v>
      </c>
      <c r="D307" s="462">
        <v>130.29525000000001</v>
      </c>
      <c r="E307" s="721">
        <v>130.29525000000001</v>
      </c>
    </row>
    <row r="308" spans="1:5" ht="15">
      <c r="A308" s="463" t="s">
        <v>451</v>
      </c>
      <c r="B308" s="717"/>
      <c r="C308" s="719"/>
      <c r="D308" s="462">
        <v>0</v>
      </c>
      <c r="E308" s="721"/>
    </row>
    <row r="309" spans="1:5" ht="15">
      <c r="A309" s="463" t="s">
        <v>452</v>
      </c>
      <c r="B309" s="717"/>
      <c r="C309" s="719"/>
      <c r="D309" s="462">
        <v>0</v>
      </c>
      <c r="E309" s="721"/>
    </row>
    <row r="310" spans="1:5" ht="15">
      <c r="A310" s="463" t="s">
        <v>462</v>
      </c>
      <c r="B310" s="717">
        <v>1</v>
      </c>
      <c r="C310" s="719" t="s">
        <v>253</v>
      </c>
      <c r="D310" s="462">
        <v>83.15325</v>
      </c>
      <c r="E310" s="721">
        <v>83.15325</v>
      </c>
    </row>
    <row r="311" spans="1:5" ht="15">
      <c r="A311" s="463" t="s">
        <v>454</v>
      </c>
      <c r="B311" s="717"/>
      <c r="C311" s="719"/>
      <c r="D311" s="462">
        <v>0</v>
      </c>
      <c r="E311" s="721"/>
    </row>
    <row r="312" spans="1:5" ht="15">
      <c r="A312" s="463" t="s">
        <v>455</v>
      </c>
      <c r="B312" s="717"/>
      <c r="C312" s="719"/>
      <c r="D312" s="462">
        <v>0</v>
      </c>
      <c r="E312" s="721"/>
    </row>
    <row r="313" spans="1:5" ht="15">
      <c r="A313" s="463" t="s">
        <v>463</v>
      </c>
      <c r="B313" s="717">
        <v>2</v>
      </c>
      <c r="C313" s="719" t="s">
        <v>253</v>
      </c>
      <c r="D313" s="462">
        <v>75.296250000000001</v>
      </c>
      <c r="E313" s="721">
        <v>150.5925</v>
      </c>
    </row>
    <row r="314" spans="1:5" ht="15">
      <c r="A314" s="463" t="s">
        <v>336</v>
      </c>
      <c r="B314" s="717"/>
      <c r="C314" s="719"/>
      <c r="D314" s="462">
        <v>0</v>
      </c>
      <c r="E314" s="721"/>
    </row>
    <row r="315" spans="1:5" ht="15">
      <c r="A315" s="463" t="s">
        <v>464</v>
      </c>
      <c r="B315" s="717">
        <v>2</v>
      </c>
      <c r="C315" s="719" t="s">
        <v>253</v>
      </c>
      <c r="D315" s="462">
        <v>72.022500000000008</v>
      </c>
      <c r="E315" s="721">
        <v>144.04500000000002</v>
      </c>
    </row>
    <row r="316" spans="1:5" ht="15">
      <c r="A316" s="463" t="s">
        <v>338</v>
      </c>
      <c r="B316" s="717"/>
      <c r="C316" s="719"/>
      <c r="D316" s="462">
        <v>0</v>
      </c>
      <c r="E316" s="721"/>
    </row>
    <row r="317" spans="1:5" ht="15">
      <c r="A317" s="463" t="s">
        <v>339</v>
      </c>
      <c r="B317" s="717"/>
      <c r="C317" s="719"/>
      <c r="D317" s="462">
        <v>0</v>
      </c>
      <c r="E317" s="721"/>
    </row>
    <row r="318" spans="1:5" ht="15">
      <c r="A318" s="463" t="s">
        <v>465</v>
      </c>
      <c r="B318" s="717">
        <v>1</v>
      </c>
      <c r="C318" s="719" t="s">
        <v>253</v>
      </c>
      <c r="D318" s="462">
        <v>324.75599999999997</v>
      </c>
      <c r="E318" s="721">
        <v>324.75599999999997</v>
      </c>
    </row>
    <row r="319" spans="1:5" ht="15">
      <c r="A319" s="463" t="s">
        <v>466</v>
      </c>
      <c r="B319" s="717"/>
      <c r="C319" s="719"/>
      <c r="D319" s="462">
        <v>0</v>
      </c>
      <c r="E319" s="721"/>
    </row>
    <row r="320" spans="1:5" ht="15">
      <c r="A320" s="463" t="s">
        <v>467</v>
      </c>
      <c r="B320" s="717">
        <v>1</v>
      </c>
      <c r="C320" s="719" t="s">
        <v>253</v>
      </c>
      <c r="D320" s="462">
        <v>447.19425000000001</v>
      </c>
      <c r="E320" s="721">
        <v>447.19425000000001</v>
      </c>
    </row>
    <row r="321" spans="1:5" ht="15">
      <c r="A321" s="463" t="s">
        <v>468</v>
      </c>
      <c r="B321" s="717"/>
      <c r="C321" s="719"/>
      <c r="D321" s="462">
        <v>0</v>
      </c>
      <c r="E321" s="721"/>
    </row>
    <row r="322" spans="1:5" ht="15">
      <c r="A322" s="463" t="s">
        <v>469</v>
      </c>
      <c r="B322" s="717">
        <v>2</v>
      </c>
      <c r="C322" s="719" t="s">
        <v>253</v>
      </c>
      <c r="D322" s="462">
        <v>432.78975000000003</v>
      </c>
      <c r="E322" s="721">
        <v>865.57950000000005</v>
      </c>
    </row>
    <row r="323" spans="1:5" ht="15">
      <c r="A323" s="463" t="s">
        <v>470</v>
      </c>
      <c r="B323" s="717"/>
      <c r="C323" s="719"/>
      <c r="D323" s="462">
        <v>0</v>
      </c>
      <c r="E323" s="721"/>
    </row>
    <row r="324" spans="1:5" ht="15">
      <c r="A324" s="463" t="s">
        <v>471</v>
      </c>
      <c r="B324" s="717">
        <v>1</v>
      </c>
      <c r="C324" s="719" t="s">
        <v>253</v>
      </c>
      <c r="D324" s="462">
        <v>541.47825</v>
      </c>
      <c r="E324" s="721">
        <v>541.47825</v>
      </c>
    </row>
    <row r="325" spans="1:5" ht="15">
      <c r="A325" s="463" t="s">
        <v>334</v>
      </c>
      <c r="B325" s="717"/>
      <c r="C325" s="719"/>
      <c r="D325" s="462">
        <v>0</v>
      </c>
      <c r="E325" s="721"/>
    </row>
    <row r="326" spans="1:5" ht="15">
      <c r="A326" s="463" t="s">
        <v>472</v>
      </c>
      <c r="B326" s="717">
        <v>2</v>
      </c>
      <c r="C326" s="719" t="s">
        <v>253</v>
      </c>
      <c r="D326" s="462">
        <v>75.296250000000001</v>
      </c>
      <c r="E326" s="721">
        <v>150.5925</v>
      </c>
    </row>
    <row r="327" spans="1:5" ht="15">
      <c r="A327" s="463" t="s">
        <v>336</v>
      </c>
      <c r="B327" s="717"/>
      <c r="C327" s="719"/>
      <c r="D327" s="462">
        <v>0</v>
      </c>
      <c r="E327" s="721"/>
    </row>
    <row r="328" spans="1:5" ht="15">
      <c r="A328" s="463" t="s">
        <v>473</v>
      </c>
      <c r="B328" s="717">
        <v>2</v>
      </c>
      <c r="C328" s="719" t="s">
        <v>253</v>
      </c>
      <c r="D328" s="462">
        <v>72.022500000000008</v>
      </c>
      <c r="E328" s="721">
        <v>144.04500000000002</v>
      </c>
    </row>
    <row r="329" spans="1:5" ht="15">
      <c r="A329" s="463" t="s">
        <v>338</v>
      </c>
      <c r="B329" s="717"/>
      <c r="C329" s="719"/>
      <c r="D329" s="462">
        <v>0</v>
      </c>
      <c r="E329" s="721"/>
    </row>
    <row r="330" spans="1:5" ht="15">
      <c r="A330" s="463" t="s">
        <v>339</v>
      </c>
      <c r="B330" s="717"/>
      <c r="C330" s="719"/>
      <c r="D330" s="462">
        <v>0</v>
      </c>
      <c r="E330" s="721"/>
    </row>
    <row r="331" spans="1:5" ht="30">
      <c r="A331" s="461" t="s">
        <v>474</v>
      </c>
      <c r="B331" s="717">
        <v>1</v>
      </c>
      <c r="C331" s="719" t="s">
        <v>302</v>
      </c>
      <c r="D331" s="462">
        <v>925.16174999999998</v>
      </c>
      <c r="E331" s="721">
        <v>925.16174999999998</v>
      </c>
    </row>
    <row r="332" spans="1:5" ht="15">
      <c r="A332" s="463" t="s">
        <v>341</v>
      </c>
      <c r="B332" s="717"/>
      <c r="C332" s="719"/>
      <c r="D332" s="462">
        <v>0</v>
      </c>
      <c r="E332" s="721"/>
    </row>
    <row r="333" spans="1:5" ht="15">
      <c r="A333" s="463" t="s">
        <v>475</v>
      </c>
      <c r="B333" s="717">
        <v>2</v>
      </c>
      <c r="C333" s="719" t="s">
        <v>253</v>
      </c>
      <c r="D333" s="462">
        <v>285.471</v>
      </c>
      <c r="E333" s="721">
        <v>570.94200000000001</v>
      </c>
    </row>
    <row r="334" spans="1:5" ht="15">
      <c r="A334" s="463" t="s">
        <v>343</v>
      </c>
      <c r="B334" s="717"/>
      <c r="C334" s="719"/>
      <c r="D334" s="462">
        <v>0</v>
      </c>
      <c r="E334" s="721"/>
    </row>
    <row r="335" spans="1:5" ht="15">
      <c r="A335" s="463" t="s">
        <v>476</v>
      </c>
      <c r="B335" s="717">
        <v>3</v>
      </c>
      <c r="C335" s="719" t="s">
        <v>253</v>
      </c>
      <c r="D335" s="462">
        <v>75.296250000000001</v>
      </c>
      <c r="E335" s="721">
        <v>225.88875000000002</v>
      </c>
    </row>
    <row r="336" spans="1:5" ht="15">
      <c r="A336" s="463" t="s">
        <v>336</v>
      </c>
      <c r="B336" s="717"/>
      <c r="C336" s="719"/>
      <c r="D336" s="462">
        <v>0</v>
      </c>
      <c r="E336" s="721"/>
    </row>
    <row r="337" spans="1:5" ht="15">
      <c r="A337" s="463" t="s">
        <v>477</v>
      </c>
      <c r="B337" s="717">
        <v>2</v>
      </c>
      <c r="C337" s="719" t="s">
        <v>253</v>
      </c>
      <c r="D337" s="462">
        <v>191.84174999999999</v>
      </c>
      <c r="E337" s="721">
        <v>383.68349999999998</v>
      </c>
    </row>
    <row r="338" spans="1:5" ht="15.6" thickBot="1">
      <c r="A338" s="470" t="s">
        <v>346</v>
      </c>
      <c r="B338" s="718"/>
      <c r="C338" s="720"/>
      <c r="D338" s="471">
        <v>0</v>
      </c>
      <c r="E338" s="722"/>
    </row>
    <row r="339" spans="1:5" ht="15" thickBot="1"/>
    <row r="340" spans="1:5" ht="15.6" thickBot="1">
      <c r="A340" s="505" t="s">
        <v>478</v>
      </c>
      <c r="B340" s="506"/>
      <c r="C340" s="507"/>
      <c r="D340" s="508"/>
      <c r="E340" s="509">
        <v>2867941.8231074996</v>
      </c>
    </row>
    <row r="342" spans="1:5" ht="15" thickBot="1"/>
    <row r="343" spans="1:5" ht="15.6" thickBot="1">
      <c r="A343" s="505" t="s">
        <v>479</v>
      </c>
      <c r="B343" s="506"/>
      <c r="C343" s="507"/>
      <c r="D343" s="508"/>
      <c r="E343" s="509">
        <f>E340+E114</f>
        <v>5844402.2778749987</v>
      </c>
    </row>
    <row r="347" spans="1:5">
      <c r="E347" s="547"/>
    </row>
  </sheetData>
  <mergeCells count="369">
    <mergeCell ref="B118:B120"/>
    <mergeCell ref="C118:C120"/>
    <mergeCell ref="E118:E120"/>
    <mergeCell ref="B121:B123"/>
    <mergeCell ref="C121:C123"/>
    <mergeCell ref="E121:E123"/>
    <mergeCell ref="B130:B132"/>
    <mergeCell ref="C130:C132"/>
    <mergeCell ref="E130:E132"/>
    <mergeCell ref="B133:B135"/>
    <mergeCell ref="C133:C135"/>
    <mergeCell ref="E133:E135"/>
    <mergeCell ref="B124:B126"/>
    <mergeCell ref="C124:C126"/>
    <mergeCell ref="E124:E126"/>
    <mergeCell ref="B127:B129"/>
    <mergeCell ref="C127:C129"/>
    <mergeCell ref="E127:E129"/>
    <mergeCell ref="B142:B144"/>
    <mergeCell ref="C142:C144"/>
    <mergeCell ref="E142:E144"/>
    <mergeCell ref="B145:B147"/>
    <mergeCell ref="C145:C147"/>
    <mergeCell ref="E145:E147"/>
    <mergeCell ref="B136:B138"/>
    <mergeCell ref="C136:C138"/>
    <mergeCell ref="E136:E138"/>
    <mergeCell ref="B139:B141"/>
    <mergeCell ref="C139:C141"/>
    <mergeCell ref="E139:E141"/>
    <mergeCell ref="B154:B156"/>
    <mergeCell ref="C154:C156"/>
    <mergeCell ref="E154:E156"/>
    <mergeCell ref="B157:B159"/>
    <mergeCell ref="C157:C159"/>
    <mergeCell ref="E157:E159"/>
    <mergeCell ref="B148:B150"/>
    <mergeCell ref="C148:C150"/>
    <mergeCell ref="E148:E150"/>
    <mergeCell ref="B151:B153"/>
    <mergeCell ref="C151:C153"/>
    <mergeCell ref="E151:E153"/>
    <mergeCell ref="B166:B168"/>
    <mergeCell ref="C166:C168"/>
    <mergeCell ref="E166:E168"/>
    <mergeCell ref="B169:B171"/>
    <mergeCell ref="C169:C171"/>
    <mergeCell ref="E169:E171"/>
    <mergeCell ref="B160:B162"/>
    <mergeCell ref="C160:C162"/>
    <mergeCell ref="E160:E162"/>
    <mergeCell ref="B163:B165"/>
    <mergeCell ref="C163:C165"/>
    <mergeCell ref="E163:E165"/>
    <mergeCell ref="B178:B180"/>
    <mergeCell ref="C178:C180"/>
    <mergeCell ref="E178:E180"/>
    <mergeCell ref="B181:B183"/>
    <mergeCell ref="C181:C183"/>
    <mergeCell ref="E181:E183"/>
    <mergeCell ref="B172:B174"/>
    <mergeCell ref="C172:C174"/>
    <mergeCell ref="E172:E174"/>
    <mergeCell ref="B175:B177"/>
    <mergeCell ref="C175:C177"/>
    <mergeCell ref="E175:E177"/>
    <mergeCell ref="B190:B192"/>
    <mergeCell ref="C190:C192"/>
    <mergeCell ref="E190:E192"/>
    <mergeCell ref="B193:B195"/>
    <mergeCell ref="C193:C195"/>
    <mergeCell ref="E193:E195"/>
    <mergeCell ref="B184:B186"/>
    <mergeCell ref="C184:C186"/>
    <mergeCell ref="E184:E186"/>
    <mergeCell ref="B187:B189"/>
    <mergeCell ref="C187:C189"/>
    <mergeCell ref="E187:E189"/>
    <mergeCell ref="B202:B204"/>
    <mergeCell ref="C202:C204"/>
    <mergeCell ref="E202:E204"/>
    <mergeCell ref="B205:B207"/>
    <mergeCell ref="C205:C207"/>
    <mergeCell ref="E205:E207"/>
    <mergeCell ref="B196:B198"/>
    <mergeCell ref="C196:C198"/>
    <mergeCell ref="E196:E198"/>
    <mergeCell ref="B199:B201"/>
    <mergeCell ref="C199:C201"/>
    <mergeCell ref="E199:E201"/>
    <mergeCell ref="B212:B214"/>
    <mergeCell ref="C212:C214"/>
    <mergeCell ref="E212:E214"/>
    <mergeCell ref="B215:B217"/>
    <mergeCell ref="C215:C217"/>
    <mergeCell ref="E215:E217"/>
    <mergeCell ref="B208:B209"/>
    <mergeCell ref="C208:C209"/>
    <mergeCell ref="E208:E209"/>
    <mergeCell ref="B210:B211"/>
    <mergeCell ref="C210:C211"/>
    <mergeCell ref="E210:E211"/>
    <mergeCell ref="B224:B226"/>
    <mergeCell ref="C224:C226"/>
    <mergeCell ref="E224:E226"/>
    <mergeCell ref="B227:B228"/>
    <mergeCell ref="C227:C228"/>
    <mergeCell ref="E227:E228"/>
    <mergeCell ref="B218:B220"/>
    <mergeCell ref="C218:C220"/>
    <mergeCell ref="E218:E220"/>
    <mergeCell ref="B221:B223"/>
    <mergeCell ref="C221:C223"/>
    <mergeCell ref="E221:E223"/>
    <mergeCell ref="B234:B235"/>
    <mergeCell ref="C234:C235"/>
    <mergeCell ref="E234:E235"/>
    <mergeCell ref="B236:B237"/>
    <mergeCell ref="C236:C237"/>
    <mergeCell ref="E236:E237"/>
    <mergeCell ref="B229:B231"/>
    <mergeCell ref="C229:C231"/>
    <mergeCell ref="E229:E231"/>
    <mergeCell ref="B232:B233"/>
    <mergeCell ref="C232:C233"/>
    <mergeCell ref="E232:E233"/>
    <mergeCell ref="B242:B243"/>
    <mergeCell ref="C242:C243"/>
    <mergeCell ref="E242:E243"/>
    <mergeCell ref="B244:B245"/>
    <mergeCell ref="C244:C245"/>
    <mergeCell ref="E244:E245"/>
    <mergeCell ref="B238:B239"/>
    <mergeCell ref="C238:C239"/>
    <mergeCell ref="E238:E239"/>
    <mergeCell ref="B240:B241"/>
    <mergeCell ref="C240:C241"/>
    <mergeCell ref="E240:E241"/>
    <mergeCell ref="B250:B252"/>
    <mergeCell ref="C250:C252"/>
    <mergeCell ref="E250:E252"/>
    <mergeCell ref="B254:B256"/>
    <mergeCell ref="C254:C256"/>
    <mergeCell ref="E254:E256"/>
    <mergeCell ref="B246:B247"/>
    <mergeCell ref="C246:C247"/>
    <mergeCell ref="E246:E247"/>
    <mergeCell ref="B248:B249"/>
    <mergeCell ref="C248:C249"/>
    <mergeCell ref="E248:E249"/>
    <mergeCell ref="B262:B264"/>
    <mergeCell ref="C262:C264"/>
    <mergeCell ref="E262:E264"/>
    <mergeCell ref="B265:B267"/>
    <mergeCell ref="C265:C267"/>
    <mergeCell ref="E265:E267"/>
    <mergeCell ref="B257:B259"/>
    <mergeCell ref="C257:C259"/>
    <mergeCell ref="E257:E259"/>
    <mergeCell ref="B260:B261"/>
    <mergeCell ref="C260:C261"/>
    <mergeCell ref="E260:E261"/>
    <mergeCell ref="B273:B275"/>
    <mergeCell ref="C273:C275"/>
    <mergeCell ref="E273:E275"/>
    <mergeCell ref="B276:B278"/>
    <mergeCell ref="C276:C278"/>
    <mergeCell ref="E276:E278"/>
    <mergeCell ref="B268:B269"/>
    <mergeCell ref="C268:C269"/>
    <mergeCell ref="E268:E269"/>
    <mergeCell ref="B270:B272"/>
    <mergeCell ref="C270:C272"/>
    <mergeCell ref="E270:E272"/>
    <mergeCell ref="B286:B288"/>
    <mergeCell ref="C286:C288"/>
    <mergeCell ref="E286:E288"/>
    <mergeCell ref="B289:B291"/>
    <mergeCell ref="C289:C291"/>
    <mergeCell ref="E289:E291"/>
    <mergeCell ref="B279:B281"/>
    <mergeCell ref="C279:C281"/>
    <mergeCell ref="E279:E281"/>
    <mergeCell ref="B283:B285"/>
    <mergeCell ref="C283:C285"/>
    <mergeCell ref="E283:E285"/>
    <mergeCell ref="B298:B300"/>
    <mergeCell ref="C298:C300"/>
    <mergeCell ref="E298:E300"/>
    <mergeCell ref="B301:B303"/>
    <mergeCell ref="C301:C303"/>
    <mergeCell ref="E301:E303"/>
    <mergeCell ref="B292:B294"/>
    <mergeCell ref="C292:C294"/>
    <mergeCell ref="E292:E294"/>
    <mergeCell ref="B295:B297"/>
    <mergeCell ref="C295:C297"/>
    <mergeCell ref="E295:E297"/>
    <mergeCell ref="B310:B312"/>
    <mergeCell ref="C310:C312"/>
    <mergeCell ref="E310:E312"/>
    <mergeCell ref="B313:B314"/>
    <mergeCell ref="C313:C314"/>
    <mergeCell ref="E313:E314"/>
    <mergeCell ref="B304:B306"/>
    <mergeCell ref="C304:C306"/>
    <mergeCell ref="E304:E306"/>
    <mergeCell ref="B307:B309"/>
    <mergeCell ref="C307:C309"/>
    <mergeCell ref="E307:E309"/>
    <mergeCell ref="B320:B321"/>
    <mergeCell ref="C320:C321"/>
    <mergeCell ref="E320:E321"/>
    <mergeCell ref="B322:B323"/>
    <mergeCell ref="C322:C323"/>
    <mergeCell ref="E322:E323"/>
    <mergeCell ref="B315:B317"/>
    <mergeCell ref="C315:C317"/>
    <mergeCell ref="E315:E317"/>
    <mergeCell ref="B318:B319"/>
    <mergeCell ref="C318:C319"/>
    <mergeCell ref="E318:E319"/>
    <mergeCell ref="B328:B330"/>
    <mergeCell ref="C328:C330"/>
    <mergeCell ref="E328:E330"/>
    <mergeCell ref="B331:B332"/>
    <mergeCell ref="C331:C332"/>
    <mergeCell ref="E331:E332"/>
    <mergeCell ref="B324:B325"/>
    <mergeCell ref="C324:C325"/>
    <mergeCell ref="E324:E325"/>
    <mergeCell ref="B326:B327"/>
    <mergeCell ref="C326:C327"/>
    <mergeCell ref="E326:E327"/>
    <mergeCell ref="B337:B338"/>
    <mergeCell ref="C337:C338"/>
    <mergeCell ref="E337:E338"/>
    <mergeCell ref="B333:B334"/>
    <mergeCell ref="C333:C334"/>
    <mergeCell ref="E333:E334"/>
    <mergeCell ref="B335:B336"/>
    <mergeCell ref="C335:C336"/>
    <mergeCell ref="E335:E336"/>
    <mergeCell ref="B9:B11"/>
    <mergeCell ref="C9:C11"/>
    <mergeCell ref="E9:E11"/>
    <mergeCell ref="B12:B14"/>
    <mergeCell ref="C12:C14"/>
    <mergeCell ref="E12:E14"/>
    <mergeCell ref="B3:B5"/>
    <mergeCell ref="C3:C5"/>
    <mergeCell ref="E3:E5"/>
    <mergeCell ref="B6:B8"/>
    <mergeCell ref="C6:C8"/>
    <mergeCell ref="E6:E8"/>
    <mergeCell ref="B15:B17"/>
    <mergeCell ref="C15:C17"/>
    <mergeCell ref="E15:E17"/>
    <mergeCell ref="B27:B29"/>
    <mergeCell ref="C27:C29"/>
    <mergeCell ref="E27:E29"/>
    <mergeCell ref="B30:B32"/>
    <mergeCell ref="C30:C32"/>
    <mergeCell ref="E30:E32"/>
    <mergeCell ref="B21:B23"/>
    <mergeCell ref="C21:C23"/>
    <mergeCell ref="E21:E23"/>
    <mergeCell ref="B24:B26"/>
    <mergeCell ref="C24:C26"/>
    <mergeCell ref="E24:E26"/>
    <mergeCell ref="B18:B20"/>
    <mergeCell ref="C18:C20"/>
    <mergeCell ref="E18:E20"/>
    <mergeCell ref="B39:B41"/>
    <mergeCell ref="C39:C41"/>
    <mergeCell ref="E39:E41"/>
    <mergeCell ref="B42:B44"/>
    <mergeCell ref="C42:C44"/>
    <mergeCell ref="E42:E44"/>
    <mergeCell ref="B33:B35"/>
    <mergeCell ref="C33:C35"/>
    <mergeCell ref="E33:E35"/>
    <mergeCell ref="B36:B38"/>
    <mergeCell ref="C36:C38"/>
    <mergeCell ref="E36:E38"/>
    <mergeCell ref="B51:B53"/>
    <mergeCell ref="C51:C53"/>
    <mergeCell ref="E51:E53"/>
    <mergeCell ref="B54:B55"/>
    <mergeCell ref="C54:C55"/>
    <mergeCell ref="E54:E55"/>
    <mergeCell ref="B45:B47"/>
    <mergeCell ref="C45:C47"/>
    <mergeCell ref="E45:E47"/>
    <mergeCell ref="B48:B50"/>
    <mergeCell ref="C48:C50"/>
    <mergeCell ref="E48:E50"/>
    <mergeCell ref="B61:B63"/>
    <mergeCell ref="C61:C63"/>
    <mergeCell ref="E61:E63"/>
    <mergeCell ref="B64:B66"/>
    <mergeCell ref="C64:C66"/>
    <mergeCell ref="E64:E66"/>
    <mergeCell ref="B56:B57"/>
    <mergeCell ref="C56:C57"/>
    <mergeCell ref="E56:E57"/>
    <mergeCell ref="B58:B60"/>
    <mergeCell ref="C58:C60"/>
    <mergeCell ref="E58:E60"/>
    <mergeCell ref="B73:B74"/>
    <mergeCell ref="C73:C74"/>
    <mergeCell ref="E73:E74"/>
    <mergeCell ref="B75:B77"/>
    <mergeCell ref="C75:C77"/>
    <mergeCell ref="E75:E77"/>
    <mergeCell ref="B67:B69"/>
    <mergeCell ref="C67:C69"/>
    <mergeCell ref="E67:E69"/>
    <mergeCell ref="B70:B72"/>
    <mergeCell ref="C70:C72"/>
    <mergeCell ref="E70:E72"/>
    <mergeCell ref="B82:B83"/>
    <mergeCell ref="C82:C83"/>
    <mergeCell ref="E82:E83"/>
    <mergeCell ref="B84:B85"/>
    <mergeCell ref="C84:C85"/>
    <mergeCell ref="E84:E85"/>
    <mergeCell ref="B78:B79"/>
    <mergeCell ref="C78:C79"/>
    <mergeCell ref="E78:E79"/>
    <mergeCell ref="B80:B81"/>
    <mergeCell ref="C80:C81"/>
    <mergeCell ref="E80:E81"/>
    <mergeCell ref="B90:B92"/>
    <mergeCell ref="C90:C92"/>
    <mergeCell ref="E90:E92"/>
    <mergeCell ref="B94:B95"/>
    <mergeCell ref="C94:C95"/>
    <mergeCell ref="E94:E95"/>
    <mergeCell ref="B86:B87"/>
    <mergeCell ref="C86:C87"/>
    <mergeCell ref="E86:E87"/>
    <mergeCell ref="B88:B89"/>
    <mergeCell ref="C88:C89"/>
    <mergeCell ref="E88:E89"/>
    <mergeCell ref="B101:B102"/>
    <mergeCell ref="C101:C102"/>
    <mergeCell ref="E101:E102"/>
    <mergeCell ref="B103:B104"/>
    <mergeCell ref="C103:C104"/>
    <mergeCell ref="E103:E104"/>
    <mergeCell ref="B96:B97"/>
    <mergeCell ref="C96:C97"/>
    <mergeCell ref="E96:E97"/>
    <mergeCell ref="B98:B100"/>
    <mergeCell ref="C98:C100"/>
    <mergeCell ref="E98:E100"/>
    <mergeCell ref="B109:B110"/>
    <mergeCell ref="C109:C110"/>
    <mergeCell ref="E109:E110"/>
    <mergeCell ref="B111:B112"/>
    <mergeCell ref="C111:C112"/>
    <mergeCell ref="E111:E112"/>
    <mergeCell ref="B105:B106"/>
    <mergeCell ref="C105:C106"/>
    <mergeCell ref="E105:E106"/>
    <mergeCell ref="B107:B108"/>
    <mergeCell ref="C107:C108"/>
    <mergeCell ref="E107:E10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6616D2-8729-E642-8874-B1694D686DDF}">
  <dimension ref="A1:E9"/>
  <sheetViews>
    <sheetView zoomScale="120" zoomScaleNormal="120" workbookViewId="0">
      <selection activeCell="B24" sqref="B24"/>
    </sheetView>
  </sheetViews>
  <sheetFormatPr defaultColWidth="10.85546875" defaultRowHeight="14.45"/>
  <cols>
    <col min="1" max="1" width="91.140625" style="603" customWidth="1"/>
    <col min="2" max="2" width="20.140625" customWidth="1"/>
    <col min="3" max="3" width="10.85546875" style="622"/>
    <col min="4" max="4" width="14.42578125" bestFit="1" customWidth="1"/>
    <col min="5" max="5" width="15" bestFit="1" customWidth="1"/>
  </cols>
  <sheetData>
    <row r="1" spans="1:5" ht="15" thickBot="1">
      <c r="A1" s="612" t="s">
        <v>480</v>
      </c>
      <c r="B1" s="612" t="s">
        <v>19</v>
      </c>
      <c r="C1" s="621" t="s">
        <v>481</v>
      </c>
      <c r="D1" s="613" t="s">
        <v>482</v>
      </c>
      <c r="E1" s="614" t="s">
        <v>483</v>
      </c>
    </row>
    <row r="2" spans="1:5" ht="15" thickBot="1"/>
    <row r="3" spans="1:5">
      <c r="A3" s="627" t="s">
        <v>484</v>
      </c>
      <c r="B3" s="604" t="s">
        <v>10</v>
      </c>
      <c r="C3" s="623">
        <v>6</v>
      </c>
      <c r="D3" s="615">
        <v>5000</v>
      </c>
      <c r="E3" s="616">
        <f>C3*D3</f>
        <v>30000</v>
      </c>
    </row>
    <row r="4" spans="1:5" ht="29.1">
      <c r="A4" s="628" t="s">
        <v>485</v>
      </c>
      <c r="B4" s="444" t="s">
        <v>9</v>
      </c>
      <c r="C4" s="624">
        <v>10</v>
      </c>
      <c r="D4" s="617">
        <v>9000</v>
      </c>
      <c r="E4" s="618">
        <f>C4*D4</f>
        <v>90000</v>
      </c>
    </row>
    <row r="5" spans="1:5">
      <c r="A5" s="605" t="s">
        <v>486</v>
      </c>
      <c r="B5" s="444" t="s">
        <v>487</v>
      </c>
      <c r="C5" s="624">
        <v>24000</v>
      </c>
      <c r="D5" s="617">
        <v>1.28</v>
      </c>
      <c r="E5" s="618">
        <f t="shared" ref="E5:E7" si="0">C5*D5</f>
        <v>30720</v>
      </c>
    </row>
    <row r="6" spans="1:5">
      <c r="A6" s="605" t="s">
        <v>488</v>
      </c>
      <c r="B6" s="444" t="s">
        <v>489</v>
      </c>
      <c r="C6" s="624">
        <v>300</v>
      </c>
      <c r="D6" s="617">
        <v>47.6</v>
      </c>
      <c r="E6" s="618">
        <f t="shared" si="0"/>
        <v>14280</v>
      </c>
    </row>
    <row r="7" spans="1:5" ht="15" thickBot="1">
      <c r="A7" s="606" t="s">
        <v>490</v>
      </c>
      <c r="B7" s="607" t="s">
        <v>489</v>
      </c>
      <c r="C7" s="625">
        <v>300</v>
      </c>
      <c r="D7" s="619">
        <v>50</v>
      </c>
      <c r="E7" s="620">
        <f t="shared" si="0"/>
        <v>15000</v>
      </c>
    </row>
    <row r="8" spans="1:5" ht="15" thickBot="1"/>
    <row r="9" spans="1:5" ht="15.6" thickBot="1">
      <c r="A9" s="609" t="s">
        <v>479</v>
      </c>
      <c r="B9" s="610"/>
      <c r="C9" s="626"/>
      <c r="D9" s="610"/>
      <c r="E9" s="611">
        <f>SUM(E3:E8)</f>
        <v>180000</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AAEAFD-2CC0-445F-A176-F3C86648AB91}">
  <dimension ref="A1:F35"/>
  <sheetViews>
    <sheetView workbookViewId="0">
      <selection activeCell="C1" sqref="C1:F1"/>
    </sheetView>
  </sheetViews>
  <sheetFormatPr defaultColWidth="8.85546875" defaultRowHeight="15"/>
  <cols>
    <col min="1" max="1" width="15.85546875" style="311" bestFit="1" customWidth="1"/>
    <col min="2" max="2" width="66.5703125" style="312" bestFit="1" customWidth="1"/>
    <col min="3" max="3" width="6.140625" style="313" bestFit="1" customWidth="1"/>
    <col min="4" max="4" width="13.140625" style="23" bestFit="1" customWidth="1"/>
    <col min="5" max="5" width="18" style="23" bestFit="1" customWidth="1"/>
    <col min="6" max="6" width="18.85546875" style="23" bestFit="1" customWidth="1"/>
  </cols>
  <sheetData>
    <row r="1" spans="1:6" ht="14.45">
      <c r="A1" s="472" t="s">
        <v>491</v>
      </c>
      <c r="B1" s="473" t="s">
        <v>219</v>
      </c>
      <c r="C1" s="474" t="s">
        <v>19</v>
      </c>
      <c r="D1" s="475" t="s">
        <v>481</v>
      </c>
      <c r="E1" s="475" t="s">
        <v>482</v>
      </c>
      <c r="F1" s="476" t="s">
        <v>483</v>
      </c>
    </row>
    <row r="2" spans="1:6">
      <c r="A2" s="297">
        <v>1</v>
      </c>
      <c r="B2" s="298" t="s">
        <v>492</v>
      </c>
      <c r="C2" s="299"/>
      <c r="D2" s="36"/>
      <c r="E2" s="36"/>
      <c r="F2" s="37"/>
    </row>
    <row r="3" spans="1:6">
      <c r="A3" s="300">
        <v>1.1000000000000001</v>
      </c>
      <c r="B3" s="301" t="s">
        <v>493</v>
      </c>
      <c r="C3" s="302" t="s">
        <v>494</v>
      </c>
      <c r="D3" s="38">
        <v>300</v>
      </c>
      <c r="E3" s="38">
        <v>43.440144230769228</v>
      </c>
      <c r="F3" s="37">
        <f t="shared" ref="F3:F9" si="0">D3*E3</f>
        <v>13032.043269230768</v>
      </c>
    </row>
    <row r="4" spans="1:6">
      <c r="A4" s="300">
        <v>1.2</v>
      </c>
      <c r="B4" s="301" t="s">
        <v>495</v>
      </c>
      <c r="C4" s="302" t="s">
        <v>494</v>
      </c>
      <c r="D4" s="38">
        <v>100</v>
      </c>
      <c r="E4" s="38">
        <v>50.365384615384613</v>
      </c>
      <c r="F4" s="37">
        <f t="shared" si="0"/>
        <v>5036.538461538461</v>
      </c>
    </row>
    <row r="5" spans="1:6">
      <c r="A5" s="300">
        <v>1.3</v>
      </c>
      <c r="B5" s="301" t="s">
        <v>496</v>
      </c>
      <c r="C5" s="302" t="s">
        <v>494</v>
      </c>
      <c r="D5" s="38">
        <v>100</v>
      </c>
      <c r="E5" s="38">
        <v>36.514903846153842</v>
      </c>
      <c r="F5" s="37">
        <f t="shared" si="0"/>
        <v>3651.4903846153843</v>
      </c>
    </row>
    <row r="6" spans="1:6">
      <c r="A6" s="300">
        <v>1.4</v>
      </c>
      <c r="B6" s="303" t="s">
        <v>497</v>
      </c>
      <c r="C6" s="304" t="s">
        <v>317</v>
      </c>
      <c r="D6" s="38">
        <v>7600</v>
      </c>
      <c r="E6" s="39">
        <v>70.007884615384626</v>
      </c>
      <c r="F6" s="37">
        <f t="shared" si="0"/>
        <v>532059.92307692312</v>
      </c>
    </row>
    <row r="7" spans="1:6">
      <c r="A7" s="300">
        <v>1.5</v>
      </c>
      <c r="B7" s="303" t="s">
        <v>498</v>
      </c>
      <c r="C7" s="304" t="s">
        <v>317</v>
      </c>
      <c r="D7" s="38">
        <v>2000</v>
      </c>
      <c r="E7" s="39">
        <v>32.233846153846152</v>
      </c>
      <c r="F7" s="37">
        <f t="shared" si="0"/>
        <v>64467.692307692305</v>
      </c>
    </row>
    <row r="8" spans="1:6" ht="32.450000000000003">
      <c r="A8" s="300">
        <v>1.6</v>
      </c>
      <c r="B8" s="305" t="s">
        <v>499</v>
      </c>
      <c r="C8" s="306" t="s">
        <v>500</v>
      </c>
      <c r="D8" s="38">
        <v>100</v>
      </c>
      <c r="E8" s="39">
        <v>251.82692307692309</v>
      </c>
      <c r="F8" s="37">
        <f t="shared" si="0"/>
        <v>25182.692307692309</v>
      </c>
    </row>
    <row r="9" spans="1:6" ht="27">
      <c r="A9" s="307">
        <v>2</v>
      </c>
      <c r="B9" s="308" t="s">
        <v>501</v>
      </c>
      <c r="C9" s="304" t="s">
        <v>502</v>
      </c>
      <c r="D9" s="39">
        <v>100</v>
      </c>
      <c r="E9" s="39">
        <v>11080.384615384615</v>
      </c>
      <c r="F9" s="37">
        <f t="shared" si="0"/>
        <v>1108038.4615384615</v>
      </c>
    </row>
    <row r="10" spans="1:6">
      <c r="A10" s="297">
        <v>3</v>
      </c>
      <c r="B10" s="298" t="s">
        <v>503</v>
      </c>
      <c r="C10" s="299"/>
      <c r="D10" s="36"/>
      <c r="E10" s="36">
        <v>0</v>
      </c>
      <c r="F10" s="40"/>
    </row>
    <row r="11" spans="1:6">
      <c r="A11" s="300">
        <v>3.1</v>
      </c>
      <c r="B11" s="301" t="s">
        <v>504</v>
      </c>
      <c r="C11" s="302" t="s">
        <v>505</v>
      </c>
      <c r="D11" s="38">
        <v>664000</v>
      </c>
      <c r="E11" s="38">
        <v>3.1478365384615383</v>
      </c>
      <c r="F11" s="41">
        <f t="shared" ref="F11:F32" si="1">D11*E11</f>
        <v>2090163.4615384615</v>
      </c>
    </row>
    <row r="12" spans="1:6">
      <c r="A12" s="300">
        <v>3.2</v>
      </c>
      <c r="B12" s="301" t="s">
        <v>506</v>
      </c>
      <c r="C12" s="302" t="s">
        <v>507</v>
      </c>
      <c r="D12" s="38">
        <v>100</v>
      </c>
      <c r="E12" s="38">
        <v>420.04730769230775</v>
      </c>
      <c r="F12" s="41">
        <f t="shared" si="1"/>
        <v>42004.730769230773</v>
      </c>
    </row>
    <row r="13" spans="1:6" ht="30">
      <c r="A13" s="300">
        <v>3.3</v>
      </c>
      <c r="B13" s="301" t="s">
        <v>508</v>
      </c>
      <c r="C13" s="302" t="s">
        <v>507</v>
      </c>
      <c r="D13" s="38">
        <v>200</v>
      </c>
      <c r="E13" s="38">
        <v>358.22379807692312</v>
      </c>
      <c r="F13" s="41">
        <f t="shared" si="1"/>
        <v>71644.759615384624</v>
      </c>
    </row>
    <row r="14" spans="1:6">
      <c r="A14" s="300">
        <v>3.4</v>
      </c>
      <c r="B14" s="301" t="s">
        <v>509</v>
      </c>
      <c r="C14" s="302" t="s">
        <v>507</v>
      </c>
      <c r="D14" s="38">
        <v>200</v>
      </c>
      <c r="E14" s="38">
        <v>210.27548076923074</v>
      </c>
      <c r="F14" s="41">
        <f t="shared" si="1"/>
        <v>42055.096153846149</v>
      </c>
    </row>
    <row r="15" spans="1:6" ht="30">
      <c r="A15" s="300">
        <v>3.5</v>
      </c>
      <c r="B15" s="301" t="s">
        <v>510</v>
      </c>
      <c r="C15" s="302" t="s">
        <v>507</v>
      </c>
      <c r="D15" s="38">
        <v>100</v>
      </c>
      <c r="E15" s="38">
        <v>435.66057692307692</v>
      </c>
      <c r="F15" s="41">
        <f t="shared" si="1"/>
        <v>43566.057692307695</v>
      </c>
    </row>
    <row r="16" spans="1:6">
      <c r="A16" s="300">
        <v>3.6</v>
      </c>
      <c r="B16" s="301" t="s">
        <v>511</v>
      </c>
      <c r="C16" s="302" t="s">
        <v>507</v>
      </c>
      <c r="D16" s="38">
        <v>100</v>
      </c>
      <c r="E16" s="38">
        <v>180.6858173076923</v>
      </c>
      <c r="F16" s="41">
        <f t="shared" si="1"/>
        <v>18068.58173076923</v>
      </c>
    </row>
    <row r="17" spans="1:6" ht="45">
      <c r="A17" s="300">
        <v>3.7</v>
      </c>
      <c r="B17" s="301" t="s">
        <v>512</v>
      </c>
      <c r="C17" s="302" t="s">
        <v>507</v>
      </c>
      <c r="D17" s="38">
        <v>100</v>
      </c>
      <c r="E17" s="38">
        <v>249.30865384615387</v>
      </c>
      <c r="F17" s="41">
        <f t="shared" si="1"/>
        <v>24930.865384615387</v>
      </c>
    </row>
    <row r="18" spans="1:6">
      <c r="A18" s="300">
        <v>3.8</v>
      </c>
      <c r="B18" s="301" t="s">
        <v>513</v>
      </c>
      <c r="C18" s="302" t="s">
        <v>507</v>
      </c>
      <c r="D18" s="38">
        <v>100</v>
      </c>
      <c r="E18" s="38">
        <v>822.21490384615379</v>
      </c>
      <c r="F18" s="41">
        <f t="shared" si="1"/>
        <v>82221.490384615376</v>
      </c>
    </row>
    <row r="19" spans="1:6">
      <c r="A19" s="300">
        <v>3.9</v>
      </c>
      <c r="B19" s="301" t="s">
        <v>514</v>
      </c>
      <c r="C19" s="302" t="s">
        <v>507</v>
      </c>
      <c r="D19" s="38">
        <v>100</v>
      </c>
      <c r="E19" s="38">
        <v>289.60096153846155</v>
      </c>
      <c r="F19" s="41">
        <f t="shared" si="1"/>
        <v>28960.096153846156</v>
      </c>
    </row>
    <row r="20" spans="1:6">
      <c r="A20" s="300">
        <v>3.1</v>
      </c>
      <c r="B20" s="301" t="s">
        <v>515</v>
      </c>
      <c r="C20" s="302" t="s">
        <v>507</v>
      </c>
      <c r="D20" s="38">
        <v>100</v>
      </c>
      <c r="E20" s="38">
        <v>168.72403846153844</v>
      </c>
      <c r="F20" s="41">
        <f t="shared" si="1"/>
        <v>16872.403846153844</v>
      </c>
    </row>
    <row r="21" spans="1:6">
      <c r="A21" s="300">
        <v>3.11</v>
      </c>
      <c r="B21" s="301" t="s">
        <v>516</v>
      </c>
      <c r="C21" s="302" t="s">
        <v>507</v>
      </c>
      <c r="D21" s="38">
        <v>100</v>
      </c>
      <c r="E21" s="38">
        <v>322.3384615384615</v>
      </c>
      <c r="F21" s="41">
        <f t="shared" si="1"/>
        <v>32233.846153846149</v>
      </c>
    </row>
    <row r="22" spans="1:6">
      <c r="A22" s="300">
        <v>3.12</v>
      </c>
      <c r="B22" s="301" t="s">
        <v>517</v>
      </c>
      <c r="C22" s="302" t="s">
        <v>507</v>
      </c>
      <c r="D22" s="38">
        <v>100</v>
      </c>
      <c r="E22" s="38">
        <v>540.16875000000005</v>
      </c>
      <c r="F22" s="41">
        <f t="shared" si="1"/>
        <v>54016.875000000007</v>
      </c>
    </row>
    <row r="23" spans="1:6">
      <c r="A23" s="300">
        <v>3.13</v>
      </c>
      <c r="B23" s="301" t="s">
        <v>518</v>
      </c>
      <c r="C23" s="302" t="s">
        <v>507</v>
      </c>
      <c r="D23" s="38">
        <v>100</v>
      </c>
      <c r="E23" s="38">
        <v>163.6875</v>
      </c>
      <c r="F23" s="41">
        <f t="shared" si="1"/>
        <v>16368.75</v>
      </c>
    </row>
    <row r="24" spans="1:6">
      <c r="A24" s="300">
        <v>3.14</v>
      </c>
      <c r="B24" s="301" t="s">
        <v>519</v>
      </c>
      <c r="C24" s="302" t="s">
        <v>507</v>
      </c>
      <c r="D24" s="38">
        <v>100</v>
      </c>
      <c r="E24" s="38">
        <v>570.38798076923081</v>
      </c>
      <c r="F24" s="41">
        <f t="shared" si="1"/>
        <v>57038.798076923078</v>
      </c>
    </row>
    <row r="25" spans="1:6" ht="30">
      <c r="A25" s="300">
        <v>3.15</v>
      </c>
      <c r="B25" s="301" t="s">
        <v>520</v>
      </c>
      <c r="C25" s="302" t="s">
        <v>507</v>
      </c>
      <c r="D25" s="38">
        <v>100</v>
      </c>
      <c r="E25" s="38">
        <v>642.15865384615381</v>
      </c>
      <c r="F25" s="41">
        <f t="shared" si="1"/>
        <v>64215.865384615383</v>
      </c>
    </row>
    <row r="26" spans="1:6">
      <c r="A26" s="300">
        <v>3.16</v>
      </c>
      <c r="B26" s="301" t="s">
        <v>521</v>
      </c>
      <c r="C26" s="302" t="s">
        <v>507</v>
      </c>
      <c r="D26" s="38">
        <v>200</v>
      </c>
      <c r="E26" s="38">
        <v>402.92307692307691</v>
      </c>
      <c r="F26" s="41">
        <f t="shared" si="1"/>
        <v>80584.615384615376</v>
      </c>
    </row>
    <row r="27" spans="1:6">
      <c r="A27" s="300">
        <v>3.17</v>
      </c>
      <c r="B27" s="301" t="s">
        <v>522</v>
      </c>
      <c r="C27" s="302" t="s">
        <v>507</v>
      </c>
      <c r="D27" s="38">
        <v>100</v>
      </c>
      <c r="E27" s="38">
        <v>501.13557692307694</v>
      </c>
      <c r="F27" s="41">
        <f t="shared" si="1"/>
        <v>50113.557692307695</v>
      </c>
    </row>
    <row r="28" spans="1:6">
      <c r="A28" s="300">
        <v>3.18</v>
      </c>
      <c r="B28" s="301" t="s">
        <v>523</v>
      </c>
      <c r="C28" s="302" t="s">
        <v>507</v>
      </c>
      <c r="D28" s="38">
        <v>100</v>
      </c>
      <c r="E28" s="38">
        <v>155.99418750000001</v>
      </c>
      <c r="F28" s="41">
        <f t="shared" si="1"/>
        <v>15599.418750000001</v>
      </c>
    </row>
    <row r="29" spans="1:6">
      <c r="A29" s="300">
        <v>3.19</v>
      </c>
      <c r="B29" s="301" t="s">
        <v>524</v>
      </c>
      <c r="C29" s="302" t="s">
        <v>507</v>
      </c>
      <c r="D29" s="38">
        <v>100</v>
      </c>
      <c r="E29" s="38">
        <v>135.43503750000002</v>
      </c>
      <c r="F29" s="41">
        <f t="shared" si="1"/>
        <v>13543.503750000002</v>
      </c>
    </row>
    <row r="30" spans="1:6" ht="30">
      <c r="A30" s="300">
        <v>3.2</v>
      </c>
      <c r="B30" s="301" t="s">
        <v>525</v>
      </c>
      <c r="C30" s="302" t="s">
        <v>507</v>
      </c>
      <c r="D30" s="38">
        <v>2300</v>
      </c>
      <c r="E30" s="38">
        <v>566.61057692307691</v>
      </c>
      <c r="F30" s="41">
        <f t="shared" si="1"/>
        <v>1303204.326923077</v>
      </c>
    </row>
    <row r="31" spans="1:6">
      <c r="A31" s="300">
        <v>3.21</v>
      </c>
      <c r="B31" s="301" t="s">
        <v>526</v>
      </c>
      <c r="C31" s="302" t="s">
        <v>507</v>
      </c>
      <c r="D31" s="38">
        <v>100</v>
      </c>
      <c r="E31" s="38">
        <v>554.01923076923083</v>
      </c>
      <c r="F31" s="41">
        <f t="shared" si="1"/>
        <v>55401.923076923085</v>
      </c>
    </row>
    <row r="32" spans="1:6">
      <c r="A32" s="300">
        <v>3.22</v>
      </c>
      <c r="B32" s="301" t="s">
        <v>527</v>
      </c>
      <c r="C32" s="302" t="s">
        <v>507</v>
      </c>
      <c r="D32" s="38">
        <v>100</v>
      </c>
      <c r="E32" s="38">
        <v>1024</v>
      </c>
      <c r="F32" s="41">
        <f t="shared" si="1"/>
        <v>102400</v>
      </c>
    </row>
    <row r="33" spans="1:6" ht="15.6" thickBot="1">
      <c r="A33" s="309"/>
      <c r="B33" s="310"/>
      <c r="C33" s="310"/>
      <c r="D33" s="42"/>
      <c r="E33" s="43"/>
      <c r="F33" s="59"/>
    </row>
    <row r="34" spans="1:6" ht="15.6" thickBot="1"/>
    <row r="35" spans="1:6" ht="15.6" thickBot="1">
      <c r="A35" s="477"/>
      <c r="B35" s="387" t="s">
        <v>247</v>
      </c>
      <c r="C35" s="478"/>
      <c r="D35" s="479"/>
      <c r="E35" s="479"/>
      <c r="F35" s="480">
        <f>SUM(F5:F34)</f>
        <v>6038609.2830769224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8742CA-445A-45DC-B59B-E66124B852F6}">
  <dimension ref="A1:F111"/>
  <sheetViews>
    <sheetView topLeftCell="B91" workbookViewId="0">
      <selection activeCell="J121" sqref="J121"/>
    </sheetView>
  </sheetViews>
  <sheetFormatPr defaultColWidth="8.85546875" defaultRowHeight="15"/>
  <cols>
    <col min="1" max="1" width="8.85546875" style="335"/>
    <col min="2" max="2" width="52.42578125" style="335" customWidth="1"/>
    <col min="3" max="3" width="16.85546875" style="335" bestFit="1" customWidth="1"/>
    <col min="4" max="4" width="14.140625" style="27" bestFit="1" customWidth="1"/>
    <col min="5" max="5" width="17.140625" style="23" customWidth="1"/>
    <col min="6" max="6" width="27.42578125" style="35" customWidth="1"/>
  </cols>
  <sheetData>
    <row r="1" spans="1:6" ht="15.6" thickBot="1">
      <c r="A1" s="314"/>
      <c r="B1" s="726" t="s">
        <v>528</v>
      </c>
      <c r="C1" s="726"/>
      <c r="D1" s="726"/>
      <c r="E1" s="726"/>
      <c r="F1" s="60"/>
    </row>
    <row r="2" spans="1:6">
      <c r="A2" s="315" t="s">
        <v>529</v>
      </c>
      <c r="B2" s="316" t="s">
        <v>530</v>
      </c>
      <c r="C2" s="317"/>
      <c r="D2" s="317"/>
      <c r="E2" s="317"/>
      <c r="F2" s="318"/>
    </row>
    <row r="3" spans="1:6" ht="30">
      <c r="A3" s="319" t="s">
        <v>531</v>
      </c>
      <c r="B3" s="320" t="s">
        <v>532</v>
      </c>
      <c r="C3" s="320" t="s">
        <v>19</v>
      </c>
      <c r="D3" s="28" t="s">
        <v>249</v>
      </c>
      <c r="E3" s="29" t="s">
        <v>533</v>
      </c>
      <c r="F3" s="61" t="s">
        <v>534</v>
      </c>
    </row>
    <row r="4" spans="1:6">
      <c r="A4" s="319">
        <v>1.1000000000000001</v>
      </c>
      <c r="B4" s="321" t="s">
        <v>535</v>
      </c>
      <c r="C4" s="321"/>
      <c r="D4" s="24"/>
      <c r="E4" s="16"/>
      <c r="F4" s="62"/>
    </row>
    <row r="5" spans="1:6">
      <c r="A5" s="322" t="s">
        <v>29</v>
      </c>
      <c r="B5" s="323" t="s">
        <v>536</v>
      </c>
      <c r="C5" s="323" t="s">
        <v>317</v>
      </c>
      <c r="D5" s="25">
        <v>210560</v>
      </c>
      <c r="E5" s="20">
        <v>5.9342900302114803</v>
      </c>
      <c r="F5" s="63">
        <f>D5*E5</f>
        <v>1249524.1087613292</v>
      </c>
    </row>
    <row r="6" spans="1:6" ht="30">
      <c r="A6" s="322" t="s">
        <v>32</v>
      </c>
      <c r="B6" s="324" t="s">
        <v>537</v>
      </c>
      <c r="C6" s="323" t="s">
        <v>246</v>
      </c>
      <c r="D6" s="25">
        <v>9100</v>
      </c>
      <c r="E6" s="20">
        <v>22.871742824773413</v>
      </c>
      <c r="F6" s="63">
        <f>D6*E6</f>
        <v>208132.85970543805</v>
      </c>
    </row>
    <row r="7" spans="1:6">
      <c r="A7" s="322" t="s">
        <v>34</v>
      </c>
      <c r="B7" s="323" t="s">
        <v>538</v>
      </c>
      <c r="C7" s="323" t="s">
        <v>246</v>
      </c>
      <c r="D7" s="25">
        <v>2400</v>
      </c>
      <c r="E7" s="20">
        <v>22.006325528700906</v>
      </c>
      <c r="F7" s="63">
        <f>D7*E7</f>
        <v>52815.181268882174</v>
      </c>
    </row>
    <row r="8" spans="1:6">
      <c r="A8" s="322" t="s">
        <v>539</v>
      </c>
      <c r="B8" s="323" t="s">
        <v>540</v>
      </c>
      <c r="C8" s="323" t="s">
        <v>246</v>
      </c>
      <c r="D8" s="25">
        <v>9000</v>
      </c>
      <c r="E8" s="20">
        <v>1.0508638595166164</v>
      </c>
      <c r="F8" s="63">
        <f>D8*E8</f>
        <v>9457.7747356495474</v>
      </c>
    </row>
    <row r="9" spans="1:6">
      <c r="A9" s="325"/>
      <c r="B9" s="326" t="s">
        <v>541</v>
      </c>
      <c r="C9" s="327"/>
      <c r="D9" s="327"/>
      <c r="E9" s="328">
        <v>0</v>
      </c>
      <c r="F9" s="64">
        <f>SUM(F5:F8)</f>
        <v>1519929.9244712992</v>
      </c>
    </row>
    <row r="10" spans="1:6">
      <c r="A10" s="319">
        <v>1.2</v>
      </c>
      <c r="B10" s="321" t="s">
        <v>542</v>
      </c>
      <c r="C10" s="321"/>
      <c r="D10" s="24"/>
      <c r="E10" s="16">
        <v>0</v>
      </c>
      <c r="F10" s="62"/>
    </row>
    <row r="11" spans="1:6">
      <c r="A11" s="65" t="s">
        <v>39</v>
      </c>
      <c r="B11" s="324" t="s">
        <v>543</v>
      </c>
      <c r="C11" s="17" t="s">
        <v>317</v>
      </c>
      <c r="D11" s="26">
        <v>10600</v>
      </c>
      <c r="E11" s="7">
        <v>43.76538897280966</v>
      </c>
      <c r="F11" s="66">
        <f>E11*D11</f>
        <v>463913.12311178242</v>
      </c>
    </row>
    <row r="12" spans="1:6">
      <c r="A12" s="65" t="s">
        <v>51</v>
      </c>
      <c r="B12" s="324" t="s">
        <v>544</v>
      </c>
      <c r="C12" s="17" t="s">
        <v>246</v>
      </c>
      <c r="D12" s="26">
        <v>240</v>
      </c>
      <c r="E12" s="7">
        <v>68.093999999999994</v>
      </c>
      <c r="F12" s="66">
        <f>E12*D12</f>
        <v>16342.559999999998</v>
      </c>
    </row>
    <row r="13" spans="1:6">
      <c r="A13" s="65" t="s">
        <v>53</v>
      </c>
      <c r="B13" s="324" t="s">
        <v>545</v>
      </c>
      <c r="C13" s="17" t="s">
        <v>246</v>
      </c>
      <c r="D13" s="26">
        <v>240</v>
      </c>
      <c r="E13" s="7">
        <v>29.463749999999997</v>
      </c>
      <c r="F13" s="66">
        <f>E13*D13</f>
        <v>7071.2999999999993</v>
      </c>
    </row>
    <row r="14" spans="1:6">
      <c r="A14" s="325"/>
      <c r="B14" s="326" t="s">
        <v>541</v>
      </c>
      <c r="C14" s="327"/>
      <c r="D14" s="327"/>
      <c r="E14" s="328">
        <v>0</v>
      </c>
      <c r="F14" s="64">
        <f>SUM(F11:F13)</f>
        <v>487326.98311178241</v>
      </c>
    </row>
    <row r="15" spans="1:6">
      <c r="A15" s="319">
        <v>1.3</v>
      </c>
      <c r="B15" s="321" t="s">
        <v>546</v>
      </c>
      <c r="C15" s="321"/>
      <c r="D15" s="24"/>
      <c r="E15" s="16">
        <v>0</v>
      </c>
      <c r="F15" s="62"/>
    </row>
    <row r="16" spans="1:6">
      <c r="A16" s="319" t="s">
        <v>59</v>
      </c>
      <c r="B16" s="324" t="s">
        <v>547</v>
      </c>
      <c r="C16" s="324" t="s">
        <v>246</v>
      </c>
      <c r="D16" s="26">
        <v>240</v>
      </c>
      <c r="E16" s="7">
        <v>42.558750000000003</v>
      </c>
      <c r="F16" s="66">
        <f t="shared" ref="F16:F24" si="0">E16*D16</f>
        <v>10214.1</v>
      </c>
    </row>
    <row r="17" spans="1:6">
      <c r="A17" s="319" t="s">
        <v>61</v>
      </c>
      <c r="B17" s="324" t="s">
        <v>548</v>
      </c>
      <c r="C17" s="324" t="s">
        <v>246</v>
      </c>
      <c r="D17" s="26">
        <v>240</v>
      </c>
      <c r="E17" s="7">
        <v>37.975499999999997</v>
      </c>
      <c r="F17" s="66">
        <f t="shared" si="0"/>
        <v>9114.119999999999</v>
      </c>
    </row>
    <row r="18" spans="1:6" ht="17.45">
      <c r="A18" s="319" t="s">
        <v>63</v>
      </c>
      <c r="B18" s="324" t="s">
        <v>549</v>
      </c>
      <c r="C18" s="324" t="s">
        <v>246</v>
      </c>
      <c r="D18" s="26">
        <v>300</v>
      </c>
      <c r="E18" s="7">
        <v>73.332000000000008</v>
      </c>
      <c r="F18" s="66">
        <f t="shared" si="0"/>
        <v>21999.600000000002</v>
      </c>
    </row>
    <row r="19" spans="1:6">
      <c r="A19" s="319" t="s">
        <v>65</v>
      </c>
      <c r="B19" s="324" t="s">
        <v>550</v>
      </c>
      <c r="C19" s="324" t="s">
        <v>246</v>
      </c>
      <c r="D19" s="26">
        <v>240</v>
      </c>
      <c r="E19" s="7">
        <v>82.498500000000007</v>
      </c>
      <c r="F19" s="66">
        <f t="shared" si="0"/>
        <v>19799.640000000003</v>
      </c>
    </row>
    <row r="20" spans="1:6">
      <c r="A20" s="319" t="s">
        <v>551</v>
      </c>
      <c r="B20" s="324" t="s">
        <v>552</v>
      </c>
      <c r="C20" s="324" t="s">
        <v>246</v>
      </c>
      <c r="D20" s="26">
        <v>180</v>
      </c>
      <c r="E20" s="7">
        <v>88.391249999999999</v>
      </c>
      <c r="F20" s="66">
        <f t="shared" si="0"/>
        <v>15910.424999999999</v>
      </c>
    </row>
    <row r="21" spans="1:6">
      <c r="A21" s="319" t="s">
        <v>553</v>
      </c>
      <c r="B21" s="324" t="s">
        <v>554</v>
      </c>
      <c r="C21" s="324" t="s">
        <v>246</v>
      </c>
      <c r="D21" s="26">
        <v>60</v>
      </c>
      <c r="E21" s="7">
        <v>549.99</v>
      </c>
      <c r="F21" s="66">
        <f t="shared" si="0"/>
        <v>32999.4</v>
      </c>
    </row>
    <row r="22" spans="1:6">
      <c r="A22" s="319" t="s">
        <v>555</v>
      </c>
      <c r="B22" s="324" t="s">
        <v>556</v>
      </c>
      <c r="C22" s="324" t="s">
        <v>246</v>
      </c>
      <c r="D22" s="26">
        <v>60</v>
      </c>
      <c r="E22" s="7">
        <v>31.428000000000001</v>
      </c>
      <c r="F22" s="66">
        <f t="shared" si="0"/>
        <v>1885.68</v>
      </c>
    </row>
    <row r="23" spans="1:6" ht="17.100000000000001">
      <c r="A23" s="319" t="s">
        <v>557</v>
      </c>
      <c r="B23" s="324" t="s">
        <v>558</v>
      </c>
      <c r="C23" s="324" t="s">
        <v>246</v>
      </c>
      <c r="D23" s="26">
        <v>60</v>
      </c>
      <c r="E23" s="7">
        <v>714.98699999999997</v>
      </c>
      <c r="F23" s="66">
        <f t="shared" si="0"/>
        <v>42899.22</v>
      </c>
    </row>
    <row r="24" spans="1:6">
      <c r="A24" s="319" t="s">
        <v>559</v>
      </c>
      <c r="B24" s="324" t="s">
        <v>560</v>
      </c>
      <c r="C24" s="324" t="s">
        <v>246</v>
      </c>
      <c r="D24" s="26">
        <v>300</v>
      </c>
      <c r="E24" s="7">
        <v>294.63749999999999</v>
      </c>
      <c r="F24" s="66">
        <f t="shared" si="0"/>
        <v>88391.25</v>
      </c>
    </row>
    <row r="25" spans="1:6">
      <c r="A25" s="325"/>
      <c r="B25" s="326" t="s">
        <v>541</v>
      </c>
      <c r="C25" s="327"/>
      <c r="D25" s="327"/>
      <c r="E25" s="328">
        <v>0</v>
      </c>
      <c r="F25" s="64">
        <f>SUM(F16:F24)</f>
        <v>243213.435</v>
      </c>
    </row>
    <row r="26" spans="1:6">
      <c r="A26" s="329" t="s">
        <v>561</v>
      </c>
      <c r="B26" s="330" t="s">
        <v>562</v>
      </c>
      <c r="C26" s="331"/>
      <c r="D26" s="331"/>
      <c r="E26" s="332">
        <v>0</v>
      </c>
      <c r="F26" s="333"/>
    </row>
    <row r="27" spans="1:6">
      <c r="A27" s="322">
        <v>2.1</v>
      </c>
      <c r="B27" s="321" t="s">
        <v>563</v>
      </c>
      <c r="C27" s="334"/>
      <c r="D27" s="24"/>
      <c r="E27" s="16">
        <v>0</v>
      </c>
      <c r="F27" s="62"/>
    </row>
    <row r="28" spans="1:6">
      <c r="A28" s="67" t="s">
        <v>81</v>
      </c>
      <c r="B28" s="17" t="s">
        <v>564</v>
      </c>
      <c r="C28" s="17" t="s">
        <v>507</v>
      </c>
      <c r="D28" s="26">
        <v>60</v>
      </c>
      <c r="E28" s="7">
        <v>26.19</v>
      </c>
      <c r="F28" s="66">
        <f t="shared" ref="F28:F47" si="1">E28*D28</f>
        <v>1571.4</v>
      </c>
    </row>
    <row r="29" spans="1:6">
      <c r="A29" s="67" t="s">
        <v>83</v>
      </c>
      <c r="B29" s="17" t="s">
        <v>565</v>
      </c>
      <c r="C29" s="17" t="s">
        <v>507</v>
      </c>
      <c r="D29" s="26">
        <v>300</v>
      </c>
      <c r="E29" s="7">
        <v>34.046999999999997</v>
      </c>
      <c r="F29" s="66">
        <f t="shared" si="1"/>
        <v>10214.099999999999</v>
      </c>
    </row>
    <row r="30" spans="1:6">
      <c r="A30" s="67" t="s">
        <v>85</v>
      </c>
      <c r="B30" s="17" t="s">
        <v>566</v>
      </c>
      <c r="C30" s="17" t="s">
        <v>507</v>
      </c>
      <c r="D30" s="26">
        <v>60</v>
      </c>
      <c r="E30" s="7">
        <v>16.368749999999999</v>
      </c>
      <c r="F30" s="66">
        <f t="shared" si="1"/>
        <v>982.12499999999989</v>
      </c>
    </row>
    <row r="31" spans="1:6">
      <c r="A31" s="67" t="s">
        <v>567</v>
      </c>
      <c r="B31" s="17" t="s">
        <v>568</v>
      </c>
      <c r="C31" s="17" t="s">
        <v>507</v>
      </c>
      <c r="D31" s="26">
        <v>60</v>
      </c>
      <c r="E31" s="7">
        <v>20.952000000000002</v>
      </c>
      <c r="F31" s="66">
        <f t="shared" si="1"/>
        <v>1257.1200000000001</v>
      </c>
    </row>
    <row r="32" spans="1:6">
      <c r="A32" s="67" t="s">
        <v>569</v>
      </c>
      <c r="B32" s="17" t="s">
        <v>570</v>
      </c>
      <c r="C32" s="17" t="s">
        <v>507</v>
      </c>
      <c r="D32" s="26">
        <v>180</v>
      </c>
      <c r="E32" s="7">
        <v>22.916249999999998</v>
      </c>
      <c r="F32" s="66">
        <f t="shared" si="1"/>
        <v>4124.9249999999993</v>
      </c>
    </row>
    <row r="33" spans="1:6">
      <c r="A33" s="67" t="s">
        <v>571</v>
      </c>
      <c r="B33" s="17" t="s">
        <v>572</v>
      </c>
      <c r="C33" s="17" t="s">
        <v>507</v>
      </c>
      <c r="D33" s="26">
        <v>60</v>
      </c>
      <c r="E33" s="7">
        <v>22.916249999999998</v>
      </c>
      <c r="F33" s="66">
        <f t="shared" si="1"/>
        <v>1374.9749999999999</v>
      </c>
    </row>
    <row r="34" spans="1:6">
      <c r="A34" s="67" t="s">
        <v>573</v>
      </c>
      <c r="B34" s="17" t="s">
        <v>574</v>
      </c>
      <c r="C34" s="17" t="s">
        <v>507</v>
      </c>
      <c r="D34" s="26">
        <v>60</v>
      </c>
      <c r="E34" s="7">
        <v>29.463749999999997</v>
      </c>
      <c r="F34" s="66">
        <f t="shared" si="1"/>
        <v>1767.8249999999998</v>
      </c>
    </row>
    <row r="35" spans="1:6">
      <c r="A35" s="67" t="s">
        <v>575</v>
      </c>
      <c r="B35" s="17" t="s">
        <v>576</v>
      </c>
      <c r="C35" s="17" t="s">
        <v>507</v>
      </c>
      <c r="D35" s="26">
        <v>60</v>
      </c>
      <c r="E35" s="7">
        <v>42.558750000000003</v>
      </c>
      <c r="F35" s="66">
        <f t="shared" si="1"/>
        <v>2553.5250000000001</v>
      </c>
    </row>
    <row r="36" spans="1:6">
      <c r="A36" s="67" t="s">
        <v>577</v>
      </c>
      <c r="B36" s="17" t="s">
        <v>578</v>
      </c>
      <c r="C36" s="17" t="s">
        <v>507</v>
      </c>
      <c r="D36" s="26">
        <v>60</v>
      </c>
      <c r="E36" s="7">
        <v>54.998999999999995</v>
      </c>
      <c r="F36" s="66">
        <f t="shared" si="1"/>
        <v>3299.9399999999996</v>
      </c>
    </row>
    <row r="37" spans="1:6">
      <c r="A37" s="67" t="s">
        <v>579</v>
      </c>
      <c r="B37" s="17" t="s">
        <v>580</v>
      </c>
      <c r="C37" s="17" t="s">
        <v>507</v>
      </c>
      <c r="D37" s="26">
        <v>60</v>
      </c>
      <c r="E37" s="7">
        <v>58.272750000000002</v>
      </c>
      <c r="F37" s="66">
        <f t="shared" si="1"/>
        <v>3496.3650000000002</v>
      </c>
    </row>
    <row r="38" spans="1:6">
      <c r="A38" s="67" t="s">
        <v>581</v>
      </c>
      <c r="B38" s="17" t="s">
        <v>582</v>
      </c>
      <c r="C38" s="17" t="s">
        <v>317</v>
      </c>
      <c r="D38" s="26">
        <v>21860</v>
      </c>
      <c r="E38" s="7">
        <v>52.38</v>
      </c>
      <c r="F38" s="66">
        <f t="shared" si="1"/>
        <v>1145026.8</v>
      </c>
    </row>
    <row r="39" spans="1:6">
      <c r="A39" s="67" t="s">
        <v>583</v>
      </c>
      <c r="B39" s="17" t="s">
        <v>584</v>
      </c>
      <c r="C39" s="17" t="s">
        <v>317</v>
      </c>
      <c r="D39" s="26">
        <v>21120</v>
      </c>
      <c r="E39" s="7">
        <v>55.653750000000002</v>
      </c>
      <c r="F39" s="66">
        <f t="shared" si="1"/>
        <v>1175407.2</v>
      </c>
    </row>
    <row r="40" spans="1:6">
      <c r="A40" s="67" t="s">
        <v>585</v>
      </c>
      <c r="B40" s="17" t="s">
        <v>586</v>
      </c>
      <c r="C40" s="17" t="s">
        <v>317</v>
      </c>
      <c r="D40" s="26">
        <v>21600</v>
      </c>
      <c r="E40" s="7">
        <v>62.856000000000002</v>
      </c>
      <c r="F40" s="66">
        <f t="shared" si="1"/>
        <v>1357689.6</v>
      </c>
    </row>
    <row r="41" spans="1:6">
      <c r="A41" s="67" t="s">
        <v>587</v>
      </c>
      <c r="B41" s="17" t="s">
        <v>588</v>
      </c>
      <c r="C41" s="17" t="s">
        <v>317</v>
      </c>
      <c r="D41" s="26">
        <v>2160</v>
      </c>
      <c r="E41" s="7">
        <v>72.022500000000008</v>
      </c>
      <c r="F41" s="66">
        <f t="shared" si="1"/>
        <v>155568.6</v>
      </c>
    </row>
    <row r="42" spans="1:6">
      <c r="A42" s="67" t="s">
        <v>589</v>
      </c>
      <c r="B42" s="17" t="s">
        <v>590</v>
      </c>
      <c r="C42" s="17" t="s">
        <v>507</v>
      </c>
      <c r="D42" s="26">
        <v>240</v>
      </c>
      <c r="E42" s="7">
        <v>29.463749999999997</v>
      </c>
      <c r="F42" s="66">
        <f t="shared" si="1"/>
        <v>7071.2999999999993</v>
      </c>
    </row>
    <row r="43" spans="1:6">
      <c r="A43" s="67" t="s">
        <v>591</v>
      </c>
      <c r="B43" s="17" t="s">
        <v>592</v>
      </c>
      <c r="C43" s="17" t="s">
        <v>507</v>
      </c>
      <c r="D43" s="26">
        <v>19620</v>
      </c>
      <c r="E43" s="7">
        <v>19.642499999999998</v>
      </c>
      <c r="F43" s="66">
        <f t="shared" si="1"/>
        <v>385385.85</v>
      </c>
    </row>
    <row r="44" spans="1:6">
      <c r="A44" s="67" t="s">
        <v>593</v>
      </c>
      <c r="B44" s="17" t="s">
        <v>594</v>
      </c>
      <c r="C44" s="17" t="s">
        <v>507</v>
      </c>
      <c r="D44" s="26">
        <v>7800</v>
      </c>
      <c r="E44" s="7">
        <v>27.499499999999998</v>
      </c>
      <c r="F44" s="66">
        <f t="shared" si="1"/>
        <v>214496.09999999998</v>
      </c>
    </row>
    <row r="45" spans="1:6">
      <c r="A45" s="67" t="s">
        <v>595</v>
      </c>
      <c r="B45" s="17" t="s">
        <v>596</v>
      </c>
      <c r="C45" s="17" t="s">
        <v>507</v>
      </c>
      <c r="D45" s="26">
        <v>3600</v>
      </c>
      <c r="E45" s="7">
        <v>36.666000000000004</v>
      </c>
      <c r="F45" s="66">
        <f t="shared" si="1"/>
        <v>131997.6</v>
      </c>
    </row>
    <row r="46" spans="1:6">
      <c r="A46" s="67" t="s">
        <v>597</v>
      </c>
      <c r="B46" s="17" t="s">
        <v>598</v>
      </c>
      <c r="C46" s="17" t="s">
        <v>507</v>
      </c>
      <c r="D46" s="26">
        <v>600</v>
      </c>
      <c r="E46" s="7">
        <v>41.249250000000004</v>
      </c>
      <c r="F46" s="66">
        <f t="shared" si="1"/>
        <v>24749.550000000003</v>
      </c>
    </row>
    <row r="47" spans="1:6">
      <c r="A47" s="67" t="s">
        <v>599</v>
      </c>
      <c r="B47" s="17" t="s">
        <v>600</v>
      </c>
      <c r="C47" s="17" t="s">
        <v>507</v>
      </c>
      <c r="D47" s="26">
        <v>360</v>
      </c>
      <c r="E47" s="7">
        <v>49.106250000000003</v>
      </c>
      <c r="F47" s="66">
        <f t="shared" si="1"/>
        <v>17678.25</v>
      </c>
    </row>
    <row r="48" spans="1:6">
      <c r="A48" s="325"/>
      <c r="B48" s="326" t="s">
        <v>541</v>
      </c>
      <c r="C48" s="327"/>
      <c r="D48" s="327"/>
      <c r="E48" s="328">
        <v>0</v>
      </c>
      <c r="F48" s="64">
        <f>SUM(F28:F47)</f>
        <v>4645713.1499999985</v>
      </c>
    </row>
    <row r="49" spans="1:6">
      <c r="A49" s="322">
        <v>2.2000000000000002</v>
      </c>
      <c r="B49" s="321" t="s">
        <v>601</v>
      </c>
      <c r="C49" s="334"/>
      <c r="D49" s="24"/>
      <c r="E49" s="16">
        <v>0</v>
      </c>
      <c r="F49" s="62"/>
    </row>
    <row r="50" spans="1:6">
      <c r="A50" s="67" t="s">
        <v>88</v>
      </c>
      <c r="B50" s="17" t="s">
        <v>602</v>
      </c>
      <c r="C50" s="17" t="s">
        <v>317</v>
      </c>
      <c r="D50" s="26">
        <v>10960</v>
      </c>
      <c r="E50" s="7">
        <v>104.76</v>
      </c>
      <c r="F50" s="66">
        <f t="shared" ref="F50:F61" si="2">D50*E50</f>
        <v>1148169.6000000001</v>
      </c>
    </row>
    <row r="51" spans="1:6">
      <c r="A51" s="67" t="s">
        <v>90</v>
      </c>
      <c r="B51" s="17" t="s">
        <v>603</v>
      </c>
      <c r="C51" s="17" t="s">
        <v>317</v>
      </c>
      <c r="D51" s="26">
        <v>10696</v>
      </c>
      <c r="E51" s="7">
        <v>101.48625</v>
      </c>
      <c r="F51" s="66">
        <f t="shared" si="2"/>
        <v>1085496.93</v>
      </c>
    </row>
    <row r="52" spans="1:6">
      <c r="A52" s="67" t="s">
        <v>92</v>
      </c>
      <c r="B52" s="17" t="s">
        <v>604</v>
      </c>
      <c r="C52" s="17" t="s">
        <v>317</v>
      </c>
      <c r="D52" s="26">
        <v>4452</v>
      </c>
      <c r="E52" s="7">
        <v>98.212500000000006</v>
      </c>
      <c r="F52" s="66">
        <f t="shared" si="2"/>
        <v>437242.05000000005</v>
      </c>
    </row>
    <row r="53" spans="1:6">
      <c r="A53" s="67" t="s">
        <v>605</v>
      </c>
      <c r="B53" s="17" t="s">
        <v>606</v>
      </c>
      <c r="C53" s="17" t="s">
        <v>317</v>
      </c>
      <c r="D53" s="26">
        <v>8020</v>
      </c>
      <c r="E53" s="7">
        <v>94.938749999999999</v>
      </c>
      <c r="F53" s="66">
        <f t="shared" si="2"/>
        <v>761408.77500000002</v>
      </c>
    </row>
    <row r="54" spans="1:6">
      <c r="A54" s="67" t="s">
        <v>607</v>
      </c>
      <c r="B54" s="17" t="s">
        <v>608</v>
      </c>
      <c r="C54" s="17" t="s">
        <v>317</v>
      </c>
      <c r="D54" s="26">
        <v>6736</v>
      </c>
      <c r="E54" s="7">
        <v>91.664999999999992</v>
      </c>
      <c r="F54" s="66">
        <f t="shared" si="2"/>
        <v>617455.43999999994</v>
      </c>
    </row>
    <row r="55" spans="1:6">
      <c r="A55" s="67" t="s">
        <v>609</v>
      </c>
      <c r="B55" s="17" t="s">
        <v>610</v>
      </c>
      <c r="C55" s="17" t="s">
        <v>507</v>
      </c>
      <c r="D55" s="26">
        <v>3024</v>
      </c>
      <c r="E55" s="7">
        <v>36.011250000000004</v>
      </c>
      <c r="F55" s="66">
        <f t="shared" si="2"/>
        <v>108898.02000000002</v>
      </c>
    </row>
    <row r="56" spans="1:6">
      <c r="A56" s="67" t="s">
        <v>611</v>
      </c>
      <c r="B56" s="17" t="s">
        <v>612</v>
      </c>
      <c r="C56" s="17" t="s">
        <v>507</v>
      </c>
      <c r="D56" s="26">
        <v>714</v>
      </c>
      <c r="E56" s="7">
        <v>35.683875</v>
      </c>
      <c r="F56" s="66">
        <f t="shared" si="2"/>
        <v>25478.286749999999</v>
      </c>
    </row>
    <row r="57" spans="1:6">
      <c r="A57" s="67" t="s">
        <v>613</v>
      </c>
      <c r="B57" s="17" t="s">
        <v>614</v>
      </c>
      <c r="C57" s="17" t="s">
        <v>507</v>
      </c>
      <c r="D57" s="26">
        <v>1248</v>
      </c>
      <c r="E57" s="7">
        <v>34.701749999999997</v>
      </c>
      <c r="F57" s="66">
        <f t="shared" si="2"/>
        <v>43307.784</v>
      </c>
    </row>
    <row r="58" spans="1:6">
      <c r="A58" s="67" t="s">
        <v>615</v>
      </c>
      <c r="B58" s="17" t="s">
        <v>616</v>
      </c>
      <c r="C58" s="17" t="s">
        <v>507</v>
      </c>
      <c r="D58" s="26">
        <v>1632</v>
      </c>
      <c r="E58" s="7">
        <v>34.046999999999997</v>
      </c>
      <c r="F58" s="66">
        <f t="shared" si="2"/>
        <v>55564.703999999998</v>
      </c>
    </row>
    <row r="59" spans="1:6">
      <c r="A59" s="67" t="s">
        <v>617</v>
      </c>
      <c r="B59" s="17" t="s">
        <v>618</v>
      </c>
      <c r="C59" s="17" t="s">
        <v>507</v>
      </c>
      <c r="D59" s="26">
        <v>2016</v>
      </c>
      <c r="E59" s="7">
        <v>20.952000000000002</v>
      </c>
      <c r="F59" s="66">
        <f t="shared" si="2"/>
        <v>42239.232000000004</v>
      </c>
    </row>
    <row r="60" spans="1:6">
      <c r="A60" s="67" t="s">
        <v>619</v>
      </c>
      <c r="B60" s="17" t="s">
        <v>620</v>
      </c>
      <c r="C60" s="17" t="s">
        <v>507</v>
      </c>
      <c r="D60" s="26">
        <v>48</v>
      </c>
      <c r="E60" s="7">
        <v>43.868250000000003</v>
      </c>
      <c r="F60" s="66">
        <f t="shared" si="2"/>
        <v>2105.6760000000004</v>
      </c>
    </row>
    <row r="61" spans="1:6">
      <c r="A61" s="67" t="s">
        <v>621</v>
      </c>
      <c r="B61" s="17" t="s">
        <v>622</v>
      </c>
      <c r="C61" s="17" t="s">
        <v>507</v>
      </c>
      <c r="D61" s="26">
        <v>48</v>
      </c>
      <c r="E61" s="7">
        <v>22.916249999999998</v>
      </c>
      <c r="F61" s="66">
        <f t="shared" si="2"/>
        <v>1099.98</v>
      </c>
    </row>
    <row r="62" spans="1:6" ht="15.6" thickBot="1">
      <c r="A62" s="409"/>
      <c r="B62" s="410" t="s">
        <v>541</v>
      </c>
      <c r="C62" s="411"/>
      <c r="D62" s="411"/>
      <c r="E62" s="412">
        <v>0</v>
      </c>
      <c r="F62" s="413">
        <f>SUM(F50:F61)</f>
        <v>4328466.4777500005</v>
      </c>
    </row>
    <row r="63" spans="1:6" ht="15.6" thickBot="1">
      <c r="A63" s="414"/>
      <c r="B63" s="419" t="s">
        <v>623</v>
      </c>
      <c r="C63" s="415"/>
      <c r="D63" s="416"/>
      <c r="E63" s="417"/>
      <c r="F63" s="418">
        <f>F9+F14+F25+F48+F62</f>
        <v>11224649.970333081</v>
      </c>
    </row>
    <row r="64" spans="1:6" ht="15.6" thickBot="1"/>
    <row r="65" spans="1:6">
      <c r="A65" s="727" t="s">
        <v>624</v>
      </c>
      <c r="B65" s="728"/>
      <c r="C65" s="728"/>
      <c r="D65" s="728"/>
      <c r="E65" s="728"/>
      <c r="F65" s="729"/>
    </row>
    <row r="66" spans="1:6">
      <c r="A66" s="730" t="s">
        <v>625</v>
      </c>
      <c r="B66" s="731"/>
      <c r="C66" s="731"/>
      <c r="D66" s="731"/>
      <c r="E66" s="731"/>
      <c r="F66" s="732"/>
    </row>
    <row r="67" spans="1:6" ht="30">
      <c r="A67" s="390"/>
      <c r="B67" s="337" t="s">
        <v>219</v>
      </c>
      <c r="C67" s="337" t="s">
        <v>19</v>
      </c>
      <c r="D67" s="330" t="s">
        <v>626</v>
      </c>
      <c r="E67" s="18" t="s">
        <v>627</v>
      </c>
      <c r="F67" s="391" t="s">
        <v>628</v>
      </c>
    </row>
    <row r="68" spans="1:6">
      <c r="A68" s="392"/>
      <c r="B68" s="338" t="s">
        <v>219</v>
      </c>
      <c r="C68" s="338" t="s">
        <v>629</v>
      </c>
      <c r="D68" s="338" t="s">
        <v>481</v>
      </c>
      <c r="E68" s="19" t="s">
        <v>630</v>
      </c>
      <c r="F68" s="393" t="s">
        <v>631</v>
      </c>
    </row>
    <row r="69" spans="1:6">
      <c r="A69" s="394" t="s">
        <v>632</v>
      </c>
      <c r="B69" s="340"/>
      <c r="C69" s="340"/>
      <c r="D69" s="340"/>
      <c r="E69" s="341">
        <v>0</v>
      </c>
      <c r="F69" s="395"/>
    </row>
    <row r="70" spans="1:6">
      <c r="A70" s="392">
        <v>2</v>
      </c>
      <c r="B70" s="343" t="s">
        <v>633</v>
      </c>
      <c r="C70" s="323"/>
      <c r="D70" s="323"/>
      <c r="E70" s="20">
        <v>0</v>
      </c>
      <c r="F70" s="396"/>
    </row>
    <row r="71" spans="1:6" ht="30">
      <c r="A71" s="397" t="s">
        <v>88</v>
      </c>
      <c r="B71" s="345" t="s">
        <v>634</v>
      </c>
      <c r="C71" s="345" t="s">
        <v>302</v>
      </c>
      <c r="D71" s="346">
        <v>24</v>
      </c>
      <c r="E71" s="21">
        <v>86215.409658166027</v>
      </c>
      <c r="F71" s="396">
        <f>D71*E71</f>
        <v>2069169.8317959846</v>
      </c>
    </row>
    <row r="72" spans="1:6">
      <c r="A72" s="398"/>
      <c r="D72" s="335"/>
      <c r="E72" s="399"/>
      <c r="F72" s="400"/>
    </row>
    <row r="73" spans="1:6">
      <c r="A73" s="325"/>
      <c r="B73" s="326" t="s">
        <v>541</v>
      </c>
      <c r="C73" s="327"/>
      <c r="D73" s="327"/>
      <c r="E73" s="328">
        <v>0</v>
      </c>
      <c r="F73" s="404">
        <f>SUM(F71:F71)</f>
        <v>2069169.8317959846</v>
      </c>
    </row>
    <row r="74" spans="1:6">
      <c r="A74" s="401"/>
      <c r="B74" s="323"/>
      <c r="C74" s="323"/>
      <c r="D74" s="323"/>
      <c r="E74" s="20">
        <v>0</v>
      </c>
      <c r="F74" s="63"/>
    </row>
    <row r="75" spans="1:6">
      <c r="A75" s="394" t="s">
        <v>635</v>
      </c>
      <c r="B75" s="340"/>
      <c r="C75" s="340"/>
      <c r="D75" s="340"/>
      <c r="E75" s="341">
        <v>0</v>
      </c>
      <c r="F75" s="395"/>
    </row>
    <row r="76" spans="1:6">
      <c r="A76" s="402">
        <v>3</v>
      </c>
      <c r="B76" s="343" t="s">
        <v>636</v>
      </c>
      <c r="C76" s="324"/>
      <c r="D76" s="324"/>
      <c r="E76" s="19">
        <v>0</v>
      </c>
      <c r="F76" s="393"/>
    </row>
    <row r="77" spans="1:6" ht="45">
      <c r="A77" s="402">
        <v>3.1</v>
      </c>
      <c r="B77" s="324" t="s">
        <v>637</v>
      </c>
      <c r="C77" s="346" t="s">
        <v>317</v>
      </c>
      <c r="D77" s="346">
        <f>457*24</f>
        <v>10968</v>
      </c>
      <c r="E77" s="21">
        <v>27.605263157894701</v>
      </c>
      <c r="F77" s="396">
        <f>D77*E77</f>
        <v>302774.52631578909</v>
      </c>
    </row>
    <row r="78" spans="1:6" ht="45">
      <c r="A78" s="402">
        <v>3.2</v>
      </c>
      <c r="B78" s="324" t="s">
        <v>638</v>
      </c>
      <c r="C78" s="323"/>
      <c r="D78" s="323"/>
      <c r="E78" s="20">
        <v>0</v>
      </c>
      <c r="F78" s="396" t="s">
        <v>639</v>
      </c>
    </row>
    <row r="79" spans="1:6">
      <c r="A79" s="402" t="s">
        <v>640</v>
      </c>
      <c r="B79" s="323" t="s">
        <v>641</v>
      </c>
      <c r="C79" s="346" t="s">
        <v>494</v>
      </c>
      <c r="D79" s="346">
        <f>2*24</f>
        <v>48</v>
      </c>
      <c r="E79" s="21">
        <v>67.320944112859507</v>
      </c>
      <c r="F79" s="396">
        <f>D79*E79</f>
        <v>3231.4053174172564</v>
      </c>
    </row>
    <row r="80" spans="1:6" ht="45">
      <c r="A80" s="402">
        <v>3.3</v>
      </c>
      <c r="B80" s="324" t="s">
        <v>642</v>
      </c>
      <c r="C80" s="323"/>
      <c r="D80" s="323"/>
      <c r="E80" s="20">
        <v>0</v>
      </c>
      <c r="F80" s="396" t="s">
        <v>639</v>
      </c>
    </row>
    <row r="81" spans="1:6">
      <c r="A81" s="401" t="s">
        <v>643</v>
      </c>
      <c r="B81" s="324" t="s">
        <v>644</v>
      </c>
      <c r="C81" s="346" t="s">
        <v>494</v>
      </c>
      <c r="D81" s="346">
        <f>2*24</f>
        <v>48</v>
      </c>
      <c r="E81" s="21">
        <v>50.675529028757396</v>
      </c>
      <c r="F81" s="396">
        <f>D81*E81</f>
        <v>2432.4253933803548</v>
      </c>
    </row>
    <row r="82" spans="1:6">
      <c r="A82" s="402">
        <v>3.4</v>
      </c>
      <c r="B82" s="330" t="s">
        <v>645</v>
      </c>
      <c r="C82" s="346"/>
      <c r="D82" s="346"/>
      <c r="E82" s="21">
        <v>0</v>
      </c>
      <c r="F82" s="396" t="s">
        <v>646</v>
      </c>
    </row>
    <row r="83" spans="1:6">
      <c r="A83" s="397" t="s">
        <v>647</v>
      </c>
      <c r="B83" s="346" t="s">
        <v>648</v>
      </c>
      <c r="C83" s="346" t="s">
        <v>507</v>
      </c>
      <c r="D83" s="346">
        <f>2*24</f>
        <v>48</v>
      </c>
      <c r="E83" s="21">
        <v>474.76939772110688</v>
      </c>
      <c r="F83" s="396">
        <f t="shared" ref="F83:F92" si="3">D83*E83</f>
        <v>22788.931090613129</v>
      </c>
    </row>
    <row r="84" spans="1:6">
      <c r="A84" s="397" t="s">
        <v>649</v>
      </c>
      <c r="B84" s="346" t="s">
        <v>650</v>
      </c>
      <c r="C84" s="346" t="s">
        <v>507</v>
      </c>
      <c r="D84" s="346">
        <v>24</v>
      </c>
      <c r="E84" s="21">
        <v>881.71459576776988</v>
      </c>
      <c r="F84" s="396">
        <f t="shared" si="3"/>
        <v>21161.150298426477</v>
      </c>
    </row>
    <row r="85" spans="1:6">
      <c r="A85" s="397" t="s">
        <v>651</v>
      </c>
      <c r="B85" s="346" t="s">
        <v>652</v>
      </c>
      <c r="C85" s="346" t="s">
        <v>507</v>
      </c>
      <c r="D85" s="346">
        <v>24</v>
      </c>
      <c r="E85" s="21">
        <v>847.80249593054805</v>
      </c>
      <c r="F85" s="396">
        <f t="shared" si="3"/>
        <v>20347.259902333153</v>
      </c>
    </row>
    <row r="86" spans="1:6" ht="45">
      <c r="A86" s="397" t="s">
        <v>653</v>
      </c>
      <c r="B86" s="345" t="s">
        <v>654</v>
      </c>
      <c r="C86" s="346" t="s">
        <v>507</v>
      </c>
      <c r="D86" s="346">
        <v>24</v>
      </c>
      <c r="E86" s="21">
        <v>1899.0775908844275</v>
      </c>
      <c r="F86" s="396">
        <f t="shared" si="3"/>
        <v>45577.862181226257</v>
      </c>
    </row>
    <row r="87" spans="1:6">
      <c r="A87" s="397" t="s">
        <v>655</v>
      </c>
      <c r="B87" s="346" t="s">
        <v>656</v>
      </c>
      <c r="C87" s="323"/>
      <c r="D87" s="346">
        <f>3*24</f>
        <v>72</v>
      </c>
      <c r="E87" s="21">
        <v>406.94519804666311</v>
      </c>
      <c r="F87" s="396">
        <f t="shared" si="3"/>
        <v>29300.054259359742</v>
      </c>
    </row>
    <row r="88" spans="1:6">
      <c r="A88" s="397" t="s">
        <v>657</v>
      </c>
      <c r="B88" s="346" t="s">
        <v>658</v>
      </c>
      <c r="C88" s="346" t="s">
        <v>507</v>
      </c>
      <c r="D88" s="346">
        <v>24</v>
      </c>
      <c r="E88" s="21">
        <v>264.51437873033098</v>
      </c>
      <c r="F88" s="396">
        <f t="shared" si="3"/>
        <v>6348.3450895279439</v>
      </c>
    </row>
    <row r="89" spans="1:6">
      <c r="A89" s="397" t="s">
        <v>659</v>
      </c>
      <c r="B89" s="346" t="s">
        <v>660</v>
      </c>
      <c r="C89" s="346" t="s">
        <v>494</v>
      </c>
      <c r="D89" s="346">
        <v>24</v>
      </c>
      <c r="E89" s="21">
        <v>551.07162235485623</v>
      </c>
      <c r="F89" s="396">
        <f t="shared" si="3"/>
        <v>13225.71893651655</v>
      </c>
    </row>
    <row r="90" spans="1:6">
      <c r="A90" s="397" t="s">
        <v>661</v>
      </c>
      <c r="B90" s="346" t="s">
        <v>662</v>
      </c>
      <c r="C90" s="346" t="s">
        <v>494</v>
      </c>
      <c r="D90" s="346">
        <v>24</v>
      </c>
      <c r="E90" s="21">
        <v>529.02875746066195</v>
      </c>
      <c r="F90" s="396">
        <f t="shared" si="3"/>
        <v>12696.690179055888</v>
      </c>
    </row>
    <row r="91" spans="1:6">
      <c r="A91" s="397" t="s">
        <v>663</v>
      </c>
      <c r="B91" s="346" t="s">
        <v>664</v>
      </c>
      <c r="C91" s="346" t="s">
        <v>507</v>
      </c>
      <c r="D91" s="346">
        <v>24</v>
      </c>
      <c r="E91" s="21">
        <v>472.14053174172557</v>
      </c>
      <c r="F91" s="396">
        <f t="shared" si="3"/>
        <v>11331.372761801413</v>
      </c>
    </row>
    <row r="92" spans="1:6">
      <c r="A92" s="397" t="s">
        <v>665</v>
      </c>
      <c r="B92" s="323" t="s">
        <v>666</v>
      </c>
      <c r="C92" s="346" t="s">
        <v>507</v>
      </c>
      <c r="D92" s="346">
        <v>72</v>
      </c>
      <c r="E92" s="21">
        <v>77.767227346717306</v>
      </c>
      <c r="F92" s="396">
        <f t="shared" si="3"/>
        <v>5599.2403689636458</v>
      </c>
    </row>
    <row r="93" spans="1:6" ht="30">
      <c r="A93" s="397">
        <v>3.5</v>
      </c>
      <c r="B93" s="324" t="s">
        <v>667</v>
      </c>
      <c r="C93" s="323"/>
      <c r="D93" s="323"/>
      <c r="E93" s="20">
        <v>0</v>
      </c>
      <c r="F93" s="396"/>
    </row>
    <row r="94" spans="1:6">
      <c r="A94" s="397" t="s">
        <v>668</v>
      </c>
      <c r="B94" s="346" t="s">
        <v>669</v>
      </c>
      <c r="C94" s="346" t="s">
        <v>494</v>
      </c>
      <c r="D94" s="346">
        <v>72</v>
      </c>
      <c r="E94" s="21">
        <v>32.482365708084643</v>
      </c>
      <c r="F94" s="396">
        <f t="shared" ref="F94:F100" si="4">D94*E94</f>
        <v>2338.7303309820945</v>
      </c>
    </row>
    <row r="95" spans="1:6">
      <c r="A95" s="397" t="s">
        <v>670</v>
      </c>
      <c r="B95" s="346" t="s">
        <v>671</v>
      </c>
      <c r="C95" s="346" t="s">
        <v>494</v>
      </c>
      <c r="D95" s="346">
        <v>72</v>
      </c>
      <c r="E95" s="21">
        <v>18.516006511123166</v>
      </c>
      <c r="F95" s="396">
        <f t="shared" si="4"/>
        <v>1333.1524688008681</v>
      </c>
    </row>
    <row r="96" spans="1:6">
      <c r="A96" s="397" t="s">
        <v>672</v>
      </c>
      <c r="B96" s="346" t="s">
        <v>673</v>
      </c>
      <c r="C96" s="346" t="s">
        <v>317</v>
      </c>
      <c r="D96" s="346">
        <f>18*24</f>
        <v>432</v>
      </c>
      <c r="E96" s="21">
        <v>56.209305480195326</v>
      </c>
      <c r="F96" s="396">
        <f t="shared" si="4"/>
        <v>24282.419967444381</v>
      </c>
    </row>
    <row r="97" spans="1:6">
      <c r="A97" s="397" t="s">
        <v>674</v>
      </c>
      <c r="B97" s="346" t="s">
        <v>675</v>
      </c>
      <c r="C97" s="346" t="s">
        <v>494</v>
      </c>
      <c r="D97" s="346">
        <v>48</v>
      </c>
      <c r="E97" s="21">
        <v>79.354313619099301</v>
      </c>
      <c r="F97" s="396">
        <f t="shared" si="4"/>
        <v>3809.0070537167667</v>
      </c>
    </row>
    <row r="98" spans="1:6">
      <c r="A98" s="397" t="s">
        <v>676</v>
      </c>
      <c r="B98" s="346" t="s">
        <v>677</v>
      </c>
      <c r="C98" s="346" t="s">
        <v>494</v>
      </c>
      <c r="D98" s="346">
        <v>48</v>
      </c>
      <c r="E98" s="21">
        <v>595.15735214324468</v>
      </c>
      <c r="F98" s="396">
        <f t="shared" si="4"/>
        <v>28567.552902875745</v>
      </c>
    </row>
    <row r="99" spans="1:6">
      <c r="A99" s="397" t="s">
        <v>678</v>
      </c>
      <c r="B99" s="345" t="s">
        <v>679</v>
      </c>
      <c r="C99" s="346" t="s">
        <v>494</v>
      </c>
      <c r="D99" s="346">
        <f>50*24</f>
        <v>1200</v>
      </c>
      <c r="E99" s="21">
        <v>1.3225718936516551</v>
      </c>
      <c r="F99" s="396">
        <f t="shared" si="4"/>
        <v>1587.086272381986</v>
      </c>
    </row>
    <row r="100" spans="1:6">
      <c r="A100" s="397" t="s">
        <v>680</v>
      </c>
      <c r="B100" s="346" t="s">
        <v>681</v>
      </c>
      <c r="C100" s="346" t="s">
        <v>682</v>
      </c>
      <c r="D100" s="346">
        <f>30*24</f>
        <v>720</v>
      </c>
      <c r="E100" s="21">
        <v>35.268583830710796</v>
      </c>
      <c r="F100" s="396">
        <f t="shared" si="4"/>
        <v>25393.380358111772</v>
      </c>
    </row>
    <row r="101" spans="1:6" ht="30">
      <c r="A101" s="403">
        <v>3.6</v>
      </c>
      <c r="B101" s="345" t="s">
        <v>683</v>
      </c>
      <c r="C101" s="324"/>
      <c r="D101" s="324"/>
      <c r="E101" s="20">
        <v>0</v>
      </c>
      <c r="F101" s="396"/>
    </row>
    <row r="102" spans="1:6">
      <c r="A102" s="401" t="s">
        <v>684</v>
      </c>
      <c r="B102" s="345" t="s">
        <v>685</v>
      </c>
      <c r="C102" s="324"/>
      <c r="D102" s="324"/>
      <c r="E102" s="21">
        <v>0</v>
      </c>
      <c r="F102" s="396"/>
    </row>
    <row r="103" spans="1:6">
      <c r="A103" s="401" t="s">
        <v>686</v>
      </c>
      <c r="B103" s="345" t="s">
        <v>687</v>
      </c>
      <c r="C103" s="345" t="s">
        <v>507</v>
      </c>
      <c r="D103" s="345">
        <v>24</v>
      </c>
      <c r="E103" s="21">
        <v>881.71459576776988</v>
      </c>
      <c r="F103" s="396">
        <f>D103*E103</f>
        <v>21161.150298426477</v>
      </c>
    </row>
    <row r="104" spans="1:6">
      <c r="A104" s="401" t="s">
        <v>688</v>
      </c>
      <c r="B104" s="345" t="s">
        <v>689</v>
      </c>
      <c r="C104" s="345" t="s">
        <v>507</v>
      </c>
      <c r="D104" s="345">
        <v>24</v>
      </c>
      <c r="E104" s="21">
        <v>333.1117742810635</v>
      </c>
      <c r="F104" s="396">
        <f>D104*E104</f>
        <v>7994.6825827455241</v>
      </c>
    </row>
    <row r="105" spans="1:6">
      <c r="A105" s="401" t="s">
        <v>690</v>
      </c>
      <c r="B105" s="345" t="s">
        <v>691</v>
      </c>
      <c r="C105" s="345" t="s">
        <v>507</v>
      </c>
      <c r="D105" s="345">
        <v>48</v>
      </c>
      <c r="E105" s="21">
        <v>46.3781877373847</v>
      </c>
      <c r="F105" s="396">
        <f>D105*E105</f>
        <v>2226.1530113944655</v>
      </c>
    </row>
    <row r="106" spans="1:6">
      <c r="A106" s="401" t="s">
        <v>692</v>
      </c>
      <c r="B106" s="345" t="s">
        <v>693</v>
      </c>
      <c r="C106" s="345" t="s">
        <v>507</v>
      </c>
      <c r="D106" s="345">
        <v>48</v>
      </c>
      <c r="E106" s="21">
        <v>77.767227346717306</v>
      </c>
      <c r="F106" s="396">
        <f>D106*E106</f>
        <v>3732.8269126424307</v>
      </c>
    </row>
    <row r="107" spans="1:6">
      <c r="A107" s="401" t="s">
        <v>694</v>
      </c>
      <c r="B107" s="345" t="s">
        <v>695</v>
      </c>
      <c r="C107" s="345" t="s">
        <v>507</v>
      </c>
      <c r="D107" s="345">
        <v>24</v>
      </c>
      <c r="E107" s="21">
        <v>793.54313619099298</v>
      </c>
      <c r="F107" s="396">
        <f>D107*E107</f>
        <v>19045.03526858383</v>
      </c>
    </row>
    <row r="108" spans="1:6">
      <c r="A108" s="325"/>
      <c r="B108" s="326" t="s">
        <v>541</v>
      </c>
      <c r="C108" s="327"/>
      <c r="D108" s="327"/>
      <c r="E108" s="385">
        <v>0</v>
      </c>
      <c r="F108" s="404">
        <f>SUM(F77:F107)</f>
        <v>638286.15952251724</v>
      </c>
    </row>
    <row r="109" spans="1:6" ht="15.6" thickBot="1">
      <c r="A109" s="405"/>
      <c r="B109" s="406" t="s">
        <v>696</v>
      </c>
      <c r="C109" s="406"/>
      <c r="D109" s="406"/>
      <c r="E109" s="407"/>
      <c r="F109" s="408">
        <f>F73+F108</f>
        <v>2707455.991318502</v>
      </c>
    </row>
    <row r="110" spans="1:6" ht="15.6" thickBot="1"/>
    <row r="111" spans="1:6" ht="15.6" thickBot="1">
      <c r="A111" s="386"/>
      <c r="B111" s="387" t="s">
        <v>247</v>
      </c>
      <c r="C111" s="387"/>
      <c r="D111" s="387"/>
      <c r="E111" s="388"/>
      <c r="F111" s="389">
        <f>F109+F63</f>
        <v>13932105.961651582</v>
      </c>
    </row>
  </sheetData>
  <mergeCells count="3">
    <mergeCell ref="B1:E1"/>
    <mergeCell ref="A65:F65"/>
    <mergeCell ref="A66:F66"/>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366ae72f-6d51-4737-8f6b-a9169c366b64">
      <Terms xmlns="http://schemas.microsoft.com/office/infopath/2007/PartnerControls"/>
    </lcf76f155ced4ddcb4097134ff3c332f>
    <TaxCatchAll xmlns="50c9b839-8b53-4ddb-9b24-b96221f2bda6" xsi:nil="true"/>
    <remarks xmlns="366ae72f-6d51-4737-8f6b-a9169c366b64" xsi:nil="true"/>
    <file_x0020_ xmlns="366ae72f-6d51-4737-8f6b-a9169c366b6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00979F12F22C9E4F9273E32F354CEDB7" ma:contentTypeVersion="20" ma:contentTypeDescription="Create a new document." ma:contentTypeScope="" ma:versionID="ea4e5d10fa89c9815ebf3d9d51abb56c">
  <xsd:schema xmlns:xsd="http://www.w3.org/2001/XMLSchema" xmlns:xs="http://www.w3.org/2001/XMLSchema" xmlns:p="http://schemas.microsoft.com/office/2006/metadata/properties" xmlns:ns2="366ae72f-6d51-4737-8f6b-a9169c366b64" xmlns:ns3="a3cd7b71-671d-4139-9a97-5d1a7380fae4" xmlns:ns4="50c9b839-8b53-4ddb-9b24-b96221f2bda6" targetNamespace="http://schemas.microsoft.com/office/2006/metadata/properties" ma:root="true" ma:fieldsID="bb0d8430c0dc2f6bfac168702e804803" ns2:_="" ns3:_="" ns4:_="">
    <xsd:import namespace="366ae72f-6d51-4737-8f6b-a9169c366b64"/>
    <xsd:import namespace="a3cd7b71-671d-4139-9a97-5d1a7380fae4"/>
    <xsd:import namespace="50c9b839-8b53-4ddb-9b24-b96221f2bda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3:SharedWithUsers" minOccurs="0"/>
                <xsd:element ref="ns3:SharedWithDetails" minOccurs="0"/>
                <xsd:element ref="ns2:file_x0020_" minOccurs="0"/>
                <xsd:element ref="ns2:remark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lcf76f155ced4ddcb4097134ff3c332f" minOccurs="0"/>
                <xsd:element ref="ns4: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66ae72f-6d51-4737-8f6b-a9169c366b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description=""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file_x0020_" ma:index="16" nillable="true" ma:displayName="file " ma:format="Dropdown" ma:internalName="file_x0020_" ma:percentage="FALSE">
      <xsd:simpleType>
        <xsd:restriction base="dms:Number"/>
      </xsd:simpleType>
    </xsd:element>
    <xsd:element name="remarks" ma:index="17" nillable="true" ma:displayName="remarks" ma:format="Dropdown" ma:internalName="remarks">
      <xsd:simpleType>
        <xsd:restriction base="dms:Text">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Image Tags" ma:readOnly="false" ma:fieldId="{5cf76f15-5ced-4ddc-b409-7134ff3c332f}" ma:taxonomyMulti="true" ma:sspId="3a5397d5-9543-4dbc-8fcb-23c3638b1d43"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3cd7b71-671d-4139-9a97-5d1a7380fae4"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0c9b839-8b53-4ddb-9b24-b96221f2bda6" elementFormDefault="qualified">
    <xsd:import namespace="http://schemas.microsoft.com/office/2006/documentManagement/types"/>
    <xsd:import namespace="http://schemas.microsoft.com/office/infopath/2007/PartnerControls"/>
    <xsd:element name="TaxCatchAll" ma:index="25" nillable="true" ma:displayName="Taxonomy Catch All Column" ma:hidden="true" ma:list="{5fd50e79-fa69-4ed5-b0f8-bdacc103d93a}" ma:internalName="TaxCatchAll" ma:showField="CatchAllData" ma:web="a3cd7b71-671d-4139-9a97-5d1a7380fa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FC859B2-0560-4354-A2F9-D034C2134598}"/>
</file>

<file path=customXml/itemProps2.xml><?xml version="1.0" encoding="utf-8"?>
<ds:datastoreItem xmlns:ds="http://schemas.openxmlformats.org/officeDocument/2006/customXml" ds:itemID="{440636A6-1E94-493C-B189-1EA48CCAD371}"/>
</file>

<file path=customXml/itemProps3.xml><?xml version="1.0" encoding="utf-8"?>
<ds:datastoreItem xmlns:ds="http://schemas.openxmlformats.org/officeDocument/2006/customXml" ds:itemID="{2679651A-7DEE-4603-9E9E-8E8AF9B7AA63}"/>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Yonas Alemu</dc:creator>
  <cp:keywords/>
  <dc:description/>
  <cp:lastModifiedBy>Sun Mi Lee</cp:lastModifiedBy>
  <cp:revision/>
  <dcterms:created xsi:type="dcterms:W3CDTF">2024-07-26T14:21:07Z</dcterms:created>
  <dcterms:modified xsi:type="dcterms:W3CDTF">2024-09-25T07:14:54Z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0x01010000979F12F22C9E4F9273E32F354CEDB7</vt:lpwstr>
  </property>
  <property fmtid="{D5CDD505-2E9C-101B-9397-08002B2CF9AE}" pid="3" name="MediaServiceImageTags">
    <vt:lpwstr/>
  </property>
</Properties>
</file>