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4b9e587bce8915/Desktop/BREFONS documents/Post iTAP submission 21 May 2024/"/>
    </mc:Choice>
  </mc:AlternateContent>
  <xr:revisionPtr revIDLastSave="6" documentId="8_{9FE7A937-8B1C-4509-9354-DEB567AD81BB}" xr6:coauthVersionLast="47" xr6:coauthVersionMax="47" xr10:uidLastSave="{4CCAF048-FAEF-4837-B014-31FC642AB395}"/>
  <bookViews>
    <workbookView xWindow="28680" yWindow="-120" windowWidth="29040" windowHeight="15720" xr2:uid="{FC42290A-210E-4D75-99E2-AE8AA5A9BA65}"/>
  </bookViews>
  <sheets>
    <sheet name="BREFOL Summary GHG Emissions" sheetId="6" r:id="rId1"/>
    <sheet name="Solar" sheetId="1" r:id="rId2"/>
    <sheet name="Biodigester" sheetId="2" r:id="rId3"/>
    <sheet name="Rangelands rehab + Agro forestr" sheetId="7" r:id="rId4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6" l="1"/>
  <c r="B12" i="6"/>
  <c r="B13" i="6"/>
  <c r="B14" i="6"/>
  <c r="B15" i="6"/>
  <c r="B11" i="6"/>
  <c r="E38" i="1"/>
  <c r="E32" i="1"/>
  <c r="C32" i="1"/>
  <c r="M4" i="6"/>
  <c r="M5" i="6"/>
  <c r="M3" i="6"/>
  <c r="L4" i="6"/>
  <c r="L5" i="6"/>
  <c r="L3" i="6"/>
  <c r="K4" i="6"/>
  <c r="K5" i="6"/>
  <c r="K3" i="6"/>
  <c r="J50" i="7"/>
  <c r="J48" i="7"/>
  <c r="J49" i="7"/>
  <c r="J47" i="7"/>
  <c r="J4" i="6"/>
  <c r="J5" i="6"/>
  <c r="J6" i="6"/>
  <c r="J7" i="6"/>
  <c r="J3" i="6"/>
  <c r="J34" i="7"/>
  <c r="J30" i="7"/>
  <c r="J31" i="7"/>
  <c r="J32" i="7"/>
  <c r="J33" i="7"/>
  <c r="J29" i="7"/>
  <c r="I4" i="6"/>
  <c r="I5" i="6"/>
  <c r="I6" i="6"/>
  <c r="I7" i="6"/>
  <c r="I3" i="6"/>
  <c r="H4" i="6"/>
  <c r="H5" i="6"/>
  <c r="H6" i="6"/>
  <c r="H7" i="6"/>
  <c r="H3" i="6"/>
  <c r="D50" i="7"/>
  <c r="E50" i="7"/>
  <c r="F50" i="7"/>
  <c r="G50" i="7"/>
  <c r="H50" i="7"/>
  <c r="I50" i="7"/>
  <c r="C50" i="7"/>
  <c r="E49" i="7"/>
  <c r="F49" i="7" s="1"/>
  <c r="G49" i="7"/>
  <c r="H49" i="7" s="1"/>
  <c r="I49" i="7"/>
  <c r="D49" i="7"/>
  <c r="C49" i="7"/>
  <c r="E48" i="7"/>
  <c r="F48" i="7"/>
  <c r="G48" i="7"/>
  <c r="H48" i="7" s="1"/>
  <c r="I48" i="7" s="1"/>
  <c r="D48" i="7"/>
  <c r="C48" i="7"/>
  <c r="E47" i="7"/>
  <c r="F47" i="7" s="1"/>
  <c r="G47" i="7" s="1"/>
  <c r="H47" i="7" s="1"/>
  <c r="I47" i="7" s="1"/>
  <c r="D47" i="7"/>
  <c r="C47" i="7"/>
  <c r="C40" i="7"/>
  <c r="D40" i="7"/>
  <c r="E40" i="7"/>
  <c r="F40" i="7"/>
  <c r="G40" i="7"/>
  <c r="H40" i="7"/>
  <c r="I40" i="7"/>
  <c r="C41" i="7"/>
  <c r="D41" i="7"/>
  <c r="E41" i="7"/>
  <c r="F41" i="7"/>
  <c r="G41" i="7"/>
  <c r="H41" i="7"/>
  <c r="I41" i="7"/>
  <c r="C42" i="7"/>
  <c r="D42" i="7"/>
  <c r="E42" i="7"/>
  <c r="F42" i="7"/>
  <c r="G42" i="7"/>
  <c r="H42" i="7"/>
  <c r="I42" i="7"/>
  <c r="C43" i="7"/>
  <c r="D43" i="7"/>
  <c r="E43" i="7"/>
  <c r="F43" i="7"/>
  <c r="G43" i="7"/>
  <c r="H43" i="7"/>
  <c r="I43" i="7"/>
  <c r="B50" i="7"/>
  <c r="D34" i="7"/>
  <c r="E34" i="7"/>
  <c r="F34" i="7"/>
  <c r="G34" i="7"/>
  <c r="H34" i="7"/>
  <c r="I34" i="7"/>
  <c r="C34" i="7"/>
  <c r="E33" i="7"/>
  <c r="F33" i="7"/>
  <c r="G33" i="7"/>
  <c r="H33" i="7"/>
  <c r="I33" i="7"/>
  <c r="D33" i="7"/>
  <c r="C33" i="7"/>
  <c r="E32" i="7"/>
  <c r="F32" i="7" s="1"/>
  <c r="G32" i="7" s="1"/>
  <c r="H32" i="7" s="1"/>
  <c r="I32" i="7" s="1"/>
  <c r="D32" i="7"/>
  <c r="C32" i="7"/>
  <c r="E31" i="7"/>
  <c r="F31" i="7" s="1"/>
  <c r="G31" i="7" s="1"/>
  <c r="H31" i="7" s="1"/>
  <c r="I31" i="7" s="1"/>
  <c r="D31" i="7"/>
  <c r="C31" i="7"/>
  <c r="E30" i="7"/>
  <c r="F30" i="7" s="1"/>
  <c r="G30" i="7" s="1"/>
  <c r="H30" i="7" s="1"/>
  <c r="I30" i="7" s="1"/>
  <c r="D30" i="7"/>
  <c r="C30" i="7"/>
  <c r="E29" i="7"/>
  <c r="F29" i="7" s="1"/>
  <c r="G29" i="7" s="1"/>
  <c r="H29" i="7" s="1"/>
  <c r="I29" i="7" s="1"/>
  <c r="D29" i="7"/>
  <c r="C29" i="7"/>
  <c r="B34" i="7"/>
  <c r="R4" i="6"/>
  <c r="D25" i="7"/>
  <c r="E25" i="7"/>
  <c r="F25" i="7"/>
  <c r="G25" i="7"/>
  <c r="H25" i="7"/>
  <c r="I25" i="7"/>
  <c r="C25" i="7"/>
  <c r="D24" i="7"/>
  <c r="E24" i="7"/>
  <c r="F24" i="7"/>
  <c r="G24" i="7"/>
  <c r="H24" i="7"/>
  <c r="I24" i="7"/>
  <c r="B16" i="7"/>
  <c r="C24" i="7" s="1"/>
  <c r="E6" i="7"/>
  <c r="J15" i="7"/>
  <c r="H23" i="7" s="1"/>
  <c r="E5" i="7"/>
  <c r="G23" i="7" l="1"/>
  <c r="E23" i="7"/>
  <c r="D23" i="7"/>
  <c r="F23" i="7"/>
  <c r="I23" i="7"/>
  <c r="C23" i="7"/>
  <c r="C18" i="7" l="1"/>
  <c r="D18" i="7"/>
  <c r="E18" i="7"/>
  <c r="F18" i="7"/>
  <c r="G18" i="7"/>
  <c r="H18" i="7"/>
  <c r="I18" i="7"/>
  <c r="B18" i="7"/>
  <c r="J14" i="7"/>
  <c r="J16" i="7"/>
  <c r="J17" i="7"/>
  <c r="J13" i="7"/>
  <c r="F6" i="7"/>
  <c r="F7" i="7"/>
  <c r="F8" i="7"/>
  <c r="F5" i="7"/>
  <c r="E4" i="7"/>
  <c r="C21" i="7" l="1"/>
  <c r="D21" i="7"/>
  <c r="I21" i="7"/>
  <c r="E21" i="7"/>
  <c r="F21" i="7"/>
  <c r="H21" i="7"/>
  <c r="G21" i="7"/>
  <c r="C22" i="7"/>
  <c r="D22" i="7"/>
  <c r="I22" i="7"/>
  <c r="E22" i="7"/>
  <c r="F22" i="7"/>
  <c r="H22" i="7"/>
  <c r="G22" i="7"/>
  <c r="J18" i="7"/>
  <c r="F4" i="7"/>
  <c r="M3" i="2" l="1"/>
  <c r="L3" i="2"/>
  <c r="L6" i="2" l="1"/>
  <c r="L4" i="2"/>
  <c r="L5" i="2"/>
  <c r="K3" i="2"/>
  <c r="Q14" i="6"/>
  <c r="Q13" i="6"/>
  <c r="U4" i="6" l="1"/>
  <c r="T4" i="6"/>
  <c r="S4" i="6"/>
  <c r="B43" i="7"/>
  <c r="B26" i="7"/>
  <c r="E9" i="7"/>
  <c r="R7" i="6" s="1"/>
  <c r="D9" i="7"/>
  <c r="C9" i="7"/>
  <c r="B9" i="7"/>
  <c r="E26" i="7" l="1"/>
  <c r="C26" i="7"/>
  <c r="F26" i="7"/>
  <c r="D26" i="7"/>
  <c r="G26" i="7"/>
  <c r="H26" i="7"/>
  <c r="M8" i="6"/>
  <c r="U7" i="6" s="1"/>
  <c r="L8" i="6"/>
  <c r="T7" i="6" s="1"/>
  <c r="H8" i="6"/>
  <c r="S6" i="6" s="1"/>
  <c r="J8" i="6"/>
  <c r="U6" i="6" s="1"/>
  <c r="D10" i="7"/>
  <c r="I8" i="6"/>
  <c r="T6" i="6" s="1"/>
  <c r="R6" i="6"/>
  <c r="K8" i="6"/>
  <c r="S7" i="6" s="1"/>
  <c r="I26" i="7"/>
  <c r="X7" i="6" l="1"/>
  <c r="V7" i="6"/>
  <c r="W7" i="6"/>
  <c r="I25" i="2"/>
  <c r="C3" i="2"/>
  <c r="C4" i="2"/>
  <c r="C5" i="2"/>
  <c r="H17" i="2"/>
  <c r="E13" i="2"/>
  <c r="E14" i="2"/>
  <c r="E15" i="2"/>
  <c r="E16" i="2"/>
  <c r="E12" i="2"/>
  <c r="B37" i="1"/>
  <c r="G23" i="1"/>
  <c r="H23" i="1" s="1"/>
  <c r="G24" i="1"/>
  <c r="G25" i="1"/>
  <c r="G26" i="1"/>
  <c r="G22" i="1"/>
  <c r="H22" i="1" s="1"/>
  <c r="F23" i="1"/>
  <c r="F24" i="1"/>
  <c r="F25" i="1"/>
  <c r="F26" i="1"/>
  <c r="F22" i="1"/>
  <c r="H25" i="1" l="1"/>
  <c r="H24" i="1"/>
  <c r="F34" i="1" s="1"/>
  <c r="E34" i="1"/>
  <c r="H26" i="1"/>
  <c r="H34" i="1"/>
  <c r="G34" i="1"/>
  <c r="G27" i="1"/>
  <c r="D34" i="1" l="1"/>
  <c r="I34" i="1"/>
  <c r="G5" i="1" l="1"/>
  <c r="D23" i="1"/>
  <c r="D24" i="1"/>
  <c r="D25" i="1"/>
  <c r="D26" i="1"/>
  <c r="D22" i="1"/>
  <c r="B27" i="1"/>
  <c r="G32" i="1" l="1"/>
  <c r="D35" i="1"/>
  <c r="I33" i="1"/>
  <c r="I32" i="1"/>
  <c r="I35" i="1"/>
  <c r="G33" i="1"/>
  <c r="F32" i="1"/>
  <c r="C35" i="1"/>
  <c r="H33" i="1"/>
  <c r="G35" i="1"/>
  <c r="E35" i="1"/>
  <c r="C33" i="1"/>
  <c r="F33" i="1"/>
  <c r="D32" i="1"/>
  <c r="D37" i="1" s="1"/>
  <c r="D33" i="1"/>
  <c r="H32" i="1"/>
  <c r="H35" i="1"/>
  <c r="F35" i="1"/>
  <c r="E33" i="1"/>
  <c r="C34" i="1"/>
  <c r="C36" i="1"/>
  <c r="I36" i="1"/>
  <c r="G36" i="1"/>
  <c r="F36" i="1"/>
  <c r="H36" i="1"/>
  <c r="D36" i="1"/>
  <c r="E36" i="1"/>
  <c r="D27" i="1"/>
  <c r="B7" i="6" l="1"/>
  <c r="C7" i="6"/>
  <c r="D7" i="6" s="1"/>
  <c r="I37" i="1"/>
  <c r="B3" i="6"/>
  <c r="C3" i="6"/>
  <c r="C5" i="6"/>
  <c r="D5" i="6" s="1"/>
  <c r="B5" i="6"/>
  <c r="C4" i="6"/>
  <c r="D4" i="6" s="1"/>
  <c r="B4" i="6"/>
  <c r="B6" i="6"/>
  <c r="C6" i="6"/>
  <c r="D6" i="6" s="1"/>
  <c r="F37" i="1"/>
  <c r="C37" i="1"/>
  <c r="C38" i="1" s="1"/>
  <c r="D38" i="1" s="1"/>
  <c r="F38" i="1" s="1"/>
  <c r="G38" i="1" s="1"/>
  <c r="H38" i="1" s="1"/>
  <c r="I38" i="1" s="1"/>
  <c r="E37" i="1"/>
  <c r="H37" i="1"/>
  <c r="G37" i="1"/>
  <c r="D3" i="6" l="1"/>
  <c r="D8" i="6" s="1"/>
  <c r="C8" i="6"/>
  <c r="B8" i="6"/>
  <c r="F16" i="2"/>
  <c r="F15" i="2"/>
  <c r="F14" i="2"/>
  <c r="F13" i="2"/>
  <c r="F12" i="2"/>
  <c r="B17" i="2"/>
  <c r="G12" i="2" l="1"/>
  <c r="D17" i="2"/>
  <c r="G14" i="2"/>
  <c r="F17" i="2"/>
  <c r="G16" i="2"/>
  <c r="E17" i="2"/>
  <c r="G15" i="2"/>
  <c r="G13" i="2"/>
  <c r="K5" i="2" l="1"/>
  <c r="K4" i="2"/>
  <c r="M4" i="2" s="1"/>
  <c r="G17" i="2"/>
  <c r="L23" i="2" l="1"/>
  <c r="K23" i="2"/>
  <c r="K22" i="2"/>
  <c r="L22" i="2"/>
  <c r="M5" i="2"/>
  <c r="K6" i="2"/>
  <c r="E3" i="2"/>
  <c r="F3" i="2" s="1"/>
  <c r="E4" i="2"/>
  <c r="E5" i="2"/>
  <c r="C6" i="2"/>
  <c r="K24" i="2" l="1"/>
  <c r="L24" i="2"/>
  <c r="M24" i="2" s="1"/>
  <c r="F5" i="6"/>
  <c r="G5" i="6"/>
  <c r="E4" i="6"/>
  <c r="M22" i="2"/>
  <c r="N22" i="2" s="1"/>
  <c r="L25" i="2"/>
  <c r="E5" i="6"/>
  <c r="M23" i="2"/>
  <c r="N23" i="2" s="1"/>
  <c r="O23" i="2" s="1"/>
  <c r="P23" i="2" s="1"/>
  <c r="Q23" i="2" s="1"/>
  <c r="F5" i="2"/>
  <c r="G5" i="2" s="1"/>
  <c r="F4" i="2"/>
  <c r="F6" i="2" s="1"/>
  <c r="E6" i="2"/>
  <c r="G3" i="2"/>
  <c r="H3" i="2" s="1"/>
  <c r="M6" i="2"/>
  <c r="C25" i="2"/>
  <c r="C26" i="2" s="1"/>
  <c r="C27" i="2" s="1"/>
  <c r="C29" i="2" s="1"/>
  <c r="M25" i="2" l="1"/>
  <c r="N24" i="2"/>
  <c r="O24" i="2" s="1"/>
  <c r="P24" i="2" s="1"/>
  <c r="Q24" i="2" s="1"/>
  <c r="E7" i="6"/>
  <c r="E8" i="6"/>
  <c r="S5" i="6" s="1"/>
  <c r="K25" i="2"/>
  <c r="K26" i="2" s="1"/>
  <c r="L26" i="2" s="1"/>
  <c r="M26" i="2" s="1"/>
  <c r="O22" i="2"/>
  <c r="F4" i="6" s="1"/>
  <c r="N25" i="2"/>
  <c r="H5" i="2"/>
  <c r="I5" i="2"/>
  <c r="G4" i="2"/>
  <c r="I3" i="2"/>
  <c r="C28" i="2"/>
  <c r="J5" i="2"/>
  <c r="G7" i="6" l="1"/>
  <c r="N26" i="2"/>
  <c r="S8" i="6"/>
  <c r="V5" i="6"/>
  <c r="F7" i="6"/>
  <c r="F8" i="6" s="1"/>
  <c r="T5" i="6" s="1"/>
  <c r="P22" i="2"/>
  <c r="O25" i="2"/>
  <c r="R5" i="6" s="1"/>
  <c r="R8" i="6" s="1"/>
  <c r="H4" i="2"/>
  <c r="I4" i="2"/>
  <c r="I6" i="2" s="1"/>
  <c r="J3" i="2"/>
  <c r="T8" i="6" l="1"/>
  <c r="W5" i="6"/>
  <c r="P25" i="2"/>
  <c r="Q22" i="2"/>
  <c r="Q25" i="2" s="1"/>
  <c r="O26" i="2"/>
  <c r="P26" i="2" s="1"/>
  <c r="J4" i="2"/>
  <c r="H6" i="2"/>
  <c r="J6" i="2"/>
  <c r="G4" i="6" l="1"/>
  <c r="G8" i="6" s="1"/>
  <c r="U5" i="6" s="1"/>
  <c r="Q26" i="2"/>
  <c r="B6" i="2"/>
  <c r="U8" i="6" l="1"/>
  <c r="Q16" i="6" s="1"/>
  <c r="X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tc={863B9FDC-2557-4F60-9BAC-8B7BB22A5932}</author>
  </authors>
  <commentList>
    <comment ref="D2" authorId="0" shapeId="0" xr:uid="{863B9FDC-2557-4F60-9BAC-8B7BB22A5932}">
      <text>
        <t>[Threaded comment]
Your version of Excel allows you to read this threaded comment; however, any edits to it will get removed if the file is opened in a newer version of Excel. Learn more: https://go.microsoft.com/fwlink/?linkid=870924
Comment:
    1 m3 of biogas = 0.65 m3 of methane 
Source: IRENA, 2016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tc={998CC5F8-534E-47FE-A747-C7CB8B84D146}</author>
    <author>tc={E2651F38-96C8-48F6-ADE4-1767D7FD9988}</author>
    <author>tc={831CBC6E-27E4-40AF-80B9-1A7543AA1A29}</author>
    <author>tc={F533937D-5CD7-4F31-9F83-BD458857867A}</author>
    <author>tc={1FDA64CD-6810-4870-9AC3-C77D5983E054}</author>
    <author>tc={CE256264-DB25-4E62-B81B-D6053D918573}</author>
    <author>tc={13C04CD8-07B5-4D46-AD6F-8B80EDBADEAB}</author>
  </authors>
  <commentList>
    <comment ref="D3" authorId="0" shapeId="0" xr:uid="{998CC5F8-534E-47FE-A747-C7CB8B84D146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FAO Ex Ante Worksheet</t>
      </text>
    </comment>
    <comment ref="E3" authorId="1" shapeId="0" xr:uid="{E2651F38-96C8-48F6-ADE4-1767D7FD9988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FAO Ex Ante Worksheet</t>
      </text>
    </comment>
    <comment ref="F3" authorId="2" shapeId="0" xr:uid="{831CBC6E-27E4-40AF-80B9-1A7543AA1A29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FAO Ex Ante Worksheet</t>
      </text>
    </comment>
    <comment ref="G3" authorId="3" shapeId="0" xr:uid="{F533937D-5CD7-4F31-9F83-BD458857867A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FAO Ex Ante Worksheet</t>
      </text>
    </comment>
    <comment ref="B12" authorId="4" shapeId="0" xr:uid="{1FDA64CD-6810-4870-9AC3-C77D5983E05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Refer to sheet '10. Results in EX ante tool)
</t>
      </text>
    </comment>
    <comment ref="J28" authorId="5" shapeId="0" xr:uid="{CE256264-DB25-4E62-B81B-D6053D918573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FAO Ex Ante Worksheet</t>
      </text>
    </comment>
    <comment ref="J46" authorId="6" shapeId="0" xr:uid="{13C04CD8-07B5-4D46-AD6F-8B80EDBADEAB}">
      <text>
        <t>[Threaded comment]
Your version of Excel allows you to read this threaded comment; however, any edits to it will get removed if the file is opened in a newer version of Excel. Learn more: https://go.microsoft.com/fwlink/?linkid=870924
Comment:
    Refer to FAO Ex Ante Worksheet</t>
      </text>
    </comment>
  </commentList>
</comments>
</file>

<file path=xl/sharedStrings.xml><?xml version="1.0" encoding="utf-8"?>
<sst xmlns="http://schemas.openxmlformats.org/spreadsheetml/2006/main" count="235" uniqueCount="135">
  <si>
    <t>Country</t>
  </si>
  <si>
    <t>Djibouti</t>
  </si>
  <si>
    <t>Ethiopia</t>
  </si>
  <si>
    <t>Kenya</t>
  </si>
  <si>
    <t>Somalia</t>
  </si>
  <si>
    <t>South Sudan</t>
  </si>
  <si>
    <t>Total funding (USD)</t>
  </si>
  <si>
    <t>Estimated GCF cost per tCO2e</t>
  </si>
  <si>
    <t>Volume digester (m3)</t>
  </si>
  <si>
    <t>Methane concentration/methane conversion factor</t>
  </si>
  <si>
    <t>m3  methane available annually</t>
  </si>
  <si>
    <t>Methane prevention/avoidance (1 kg = 0.001 tonne)</t>
  </si>
  <si>
    <t xml:space="preserve">Genset Power output Adjusted for Capacity Utilization [kWh] </t>
  </si>
  <si>
    <t>Installed Capcity (kW) of biodigestor</t>
  </si>
  <si>
    <t>Total</t>
  </si>
  <si>
    <t>Installed capacity PV (MW)</t>
  </si>
  <si>
    <t>Installed capacity Biodigestor (m3)</t>
  </si>
  <si>
    <t>Totcal cost for PV and biodigestor (mUSD)</t>
  </si>
  <si>
    <t xml:space="preserve">Total </t>
  </si>
  <si>
    <t>Parameters and conversion factors
biogas generator</t>
  </si>
  <si>
    <t>1 kWh = 3.6 MJ.</t>
  </si>
  <si>
    <t>Capacity utilization Factor of Genset = 55%</t>
  </si>
  <si>
    <t>Genset Efficiency 1</t>
  </si>
  <si>
    <t>Emission Factor Diesel Kg CO2/kWh</t>
  </si>
  <si>
    <t>Annual Biogas generation</t>
  </si>
  <si>
    <t xml:space="preserve">Genset Power output [kWh] </t>
  </si>
  <si>
    <t>Project Power Capacity (kW)</t>
  </si>
  <si>
    <t>Emissions avoided per year tCO2</t>
  </si>
  <si>
    <t>Agro forestry (ha)</t>
  </si>
  <si>
    <t>AF Abatement - land coverage</t>
  </si>
  <si>
    <t>GHG abatement from rangeland rehabilitation (tCO2)- 25 years</t>
  </si>
  <si>
    <t>GHG abatement from agro forestry (tCO2) - 25 years</t>
  </si>
  <si>
    <t>Annual biogas generation per year (m3)</t>
  </si>
  <si>
    <t>Year 1</t>
  </si>
  <si>
    <t>Year 2</t>
  </si>
  <si>
    <t>Year 3</t>
  </si>
  <si>
    <t>Year 4</t>
  </si>
  <si>
    <t>Year 5</t>
  </si>
  <si>
    <t>rangeland
 rehabilitation  (ha)</t>
  </si>
  <si>
    <t>Total cost for PV (USD)</t>
  </si>
  <si>
    <t>Methodology</t>
  </si>
  <si>
    <t>MethodologyAMS-I.L- Electrification of rural communities using renewable energy (version 04)</t>
  </si>
  <si>
    <t>Total Installed 
Capacity 
(kW)- as per Annex 4</t>
  </si>
  <si>
    <t>Price per W (USD)</t>
  </si>
  <si>
    <t>Yearly average yield per kW for Djibouti (kWh/kWp)</t>
  </si>
  <si>
    <t>Assumptions</t>
  </si>
  <si>
    <t xml:space="preserve">Global solar atlas
https://globalsolaratlas.info/ </t>
  </si>
  <si>
    <t>Yearly average yield per kW for Ethiopia (kWh/kWp)</t>
  </si>
  <si>
    <t>Yearly average yield per kW for Kenya (kWh/kWp)</t>
  </si>
  <si>
    <t>Yearly average yield per kW for Somalia (kWh/kWp)</t>
  </si>
  <si>
    <t>Yearly average yield per kW for South Sudan (kWh/kWp)</t>
  </si>
  <si>
    <t>Diesel Baseline Emission Factor for more than 55 kWh but less than 250 kWh of renewable electricity consumed (tCO2/Mwh)</t>
  </si>
  <si>
    <t>Constant (tCO2)</t>
  </si>
  <si>
    <t>Capacity per beneficiary (kW)</t>
  </si>
  <si>
    <t>Total number of connections</t>
  </si>
  <si>
    <t>System utilisation factor</t>
  </si>
  <si>
    <t>Yearly energy generated (MWh)</t>
  </si>
  <si>
    <t>% of installation completed</t>
  </si>
  <si>
    <t>Year 6</t>
  </si>
  <si>
    <t>Emissions avoided in year 1 (t/CO2)</t>
  </si>
  <si>
    <t>Emissions avoided in year 2 (t/CO2)</t>
  </si>
  <si>
    <t>Emissions avoided in year 3 (t/CO2)</t>
  </si>
  <si>
    <t>Emissions avoided in year 4 (t/CO2)</t>
  </si>
  <si>
    <t>Emissions avoided in year 5 (t/CO2)</t>
  </si>
  <si>
    <t>Emissions avoided in year 6 (t/CO2)</t>
  </si>
  <si>
    <t>Emissions avoided in years 7 -25 (t/CO2)</t>
  </si>
  <si>
    <t>Year 7 -25</t>
  </si>
  <si>
    <t>Cummulative tCO2 avoided</t>
  </si>
  <si>
    <t>GHG Emissions avoided  from PV at mid term tCO2</t>
  </si>
  <si>
    <t>GHG Emissions avoided  from PV at end of project
tCO2</t>
  </si>
  <si>
    <t>GHG Emissions avoided  from PV during lifetime
tCO2</t>
  </si>
  <si>
    <t>GHG Emissions avoided  from biodigester at mid term tCO2</t>
  </si>
  <si>
    <t>GHG Emissions avoided  from biodigester at end of programme
tCO2</t>
  </si>
  <si>
    <t>GHG Emissions avoided  from biodigester during lifetime
tCO2</t>
  </si>
  <si>
    <t>Annual energy generated per beneficiary (MWh)</t>
  </si>
  <si>
    <t>Cost of PV asuming USD1.5/W (mUSD )</t>
  </si>
  <si>
    <t>Cost of biodigestor assuming USD300/m3  (mUSD)</t>
  </si>
  <si>
    <t>Total amount available in budget (annex4), including contingency</t>
  </si>
  <si>
    <t>Weight of methane not discharged to atmosphere  annually (kg)</t>
  </si>
  <si>
    <t>tCO2eq equivalent emissions from direct discharge into atmosphere</t>
  </si>
  <si>
    <t>tCO2eq emissions from conversion of methane to CO2 during end-use (gas-to-energy)</t>
  </si>
  <si>
    <t>Net CO2 equivalent emission reduction/Yr from capture and use of methane</t>
  </si>
  <si>
    <t>Yearly GHG emissions avoided from biodiestor tCO2 from electricity production</t>
  </si>
  <si>
    <t>Emissions avoided year 1 tCO2</t>
  </si>
  <si>
    <t>Emissions avoided year 2 tCO2</t>
  </si>
  <si>
    <t>Emissions avoided year 3 tCO2</t>
  </si>
  <si>
    <t>Emissions avoided year 4 tCO2</t>
  </si>
  <si>
    <t>Emissions avoided year 5 tCO2</t>
  </si>
  <si>
    <t>Emissions avoided year 6 tCO2</t>
  </si>
  <si>
    <t>Emissions avoided year 7 tCO2</t>
  </si>
  <si>
    <t>Emissions avoided year 8 -15 tCO2</t>
  </si>
  <si>
    <t>Total yearly emissions avoided</t>
  </si>
  <si>
    <t>Cumulative emissions avoided</t>
  </si>
  <si>
    <t>GHG sequestered through rangelands rehabilitation at mid term tCO2</t>
  </si>
  <si>
    <t>GHG sequestered through rangelands rehabilitation at end of programme tCO2</t>
  </si>
  <si>
    <t>GHG abatement from rangeland rehabilitation (tCO2) over lifetime of 25 years</t>
  </si>
  <si>
    <t>GHG sequestered through agro forestry at mid term tCO2</t>
  </si>
  <si>
    <t>GHG sequestered through agro forestry at end of programme tCO2</t>
  </si>
  <si>
    <t>Capacity / Unit</t>
  </si>
  <si>
    <t>GHG emissions avoided at mid term 
tCO2</t>
  </si>
  <si>
    <t>Yearly GHG emissions tCO2</t>
  </si>
  <si>
    <t>GHG emissions avoided over lifetime
tCO2</t>
  </si>
  <si>
    <t>GHG emissions avoided by end of programme
tCO2</t>
  </si>
  <si>
    <t xml:space="preserve">Total GCF  (USD) </t>
  </si>
  <si>
    <t>GCF amount for mitigation (USD)</t>
  </si>
  <si>
    <t>Energy Value of 1 m3 of biogas = 21  MJ of energy</t>
  </si>
  <si>
    <t>GHG reduction activity</t>
  </si>
  <si>
    <t>Off grid solar PV for irrigation Systems , Lighting and Processing Systems - MW</t>
  </si>
  <si>
    <t>Installation of Biodigester units - m3</t>
  </si>
  <si>
    <t>Rehabilitation of rangelands  ha</t>
  </si>
  <si>
    <t>Land under agroforestry  - ha</t>
  </si>
  <si>
    <t>Annual carbon balance in tCO2 Y1</t>
  </si>
  <si>
    <t>Annual carbon balance in tCO2 Y2</t>
  </si>
  <si>
    <t>Annual carbon balance in tCO2 Y3</t>
  </si>
  <si>
    <t>Annual carbon balance in tCO2 Y4</t>
  </si>
  <si>
    <t>Annual carbon balance in tCO2 Y5</t>
  </si>
  <si>
    <t>Annual carbon balance in tCO2 Y6</t>
  </si>
  <si>
    <t>Annual carbon balance in tCO2 Y7</t>
  </si>
  <si>
    <t>Annual carbon balance in tCO2 Y8</t>
  </si>
  <si>
    <t>Cummulative GHG abatement from rangeland rehabilitation (tCO2)- 25 years</t>
  </si>
  <si>
    <t>Cummulative GHG abatement from agro forestry (tCO2) - 25 years</t>
  </si>
  <si>
    <t>Annual Carbon Balance in tCO2 Y1</t>
  </si>
  <si>
    <t>Annual Carbon Balance in tCO2 Y2</t>
  </si>
  <si>
    <t>Annual Carbon Balance in tCO2 Y3</t>
  </si>
  <si>
    <t>Annual Carbon Balance in tCO2 Y4</t>
  </si>
  <si>
    <t>Annual Carbon Balance in tCO2 Y5</t>
  </si>
  <si>
    <t>Annual Carbon Balance in tCO2 Y6</t>
  </si>
  <si>
    <t>Annual Carbon Balance in tCO2 Y7</t>
  </si>
  <si>
    <t>Cumulative tCO2 emissions avoided at end of Y1</t>
  </si>
  <si>
    <t>Cumulative tCO2 emissions avoided at end of Y2</t>
  </si>
  <si>
    <t>Cumulative tCO2 emissions avoided at end of Y3</t>
  </si>
  <si>
    <t>Cumulative tCO2 emissions avoided at end of Y4</t>
  </si>
  <si>
    <t>Cumulative tCO2 emissions avoided at end of Y5</t>
  </si>
  <si>
    <t>Cumulative tCO2 emissions avoided at end of Y6</t>
  </si>
  <si>
    <t>Cumulative tCO2 emissions avoided at end of Y7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</si>
</sst>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_-;\-* #,##0_-;_-* &quot;-&quot;??_-;_-@_-"/>
    <numFmt numFmtId="167" formatCode="_-* #,##0.000_-;\-* #,##0.000_-;_-* &quot;-&quot;??_-;_-@_-"/>
    <numFmt numFmtId="168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7" fillId="7" borderId="0" applyNumberFormat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/>
    <xf numFmtId="166" fontId="0" fillId="0" borderId="1" xfId="1" applyNumberFormat="1" applyFont="1" applyBorder="1"/>
    <xf numFmtId="165" fontId="2" fillId="0" borderId="1" xfId="1" applyNumberFormat="1" applyFont="1" applyBorder="1" applyAlignment="1">
      <alignment horizontal="center"/>
    </xf>
    <xf numFmtId="0" fontId="3" fillId="0" borderId="1" xfId="3" applyFont="1" applyBorder="1" applyAlignment="1">
      <alignment vertical="top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165" fontId="0" fillId="5" borderId="1" xfId="1" applyNumberFormat="1" applyFont="1" applyFill="1" applyBorder="1" applyAlignment="1">
      <alignment wrapText="1"/>
    </xf>
    <xf numFmtId="166" fontId="0" fillId="0" borderId="1" xfId="0" applyNumberFormat="1" applyBorder="1"/>
    <xf numFmtId="166" fontId="2" fillId="0" borderId="1" xfId="0" applyNumberFormat="1" applyFont="1" applyBorder="1"/>
    <xf numFmtId="0" fontId="0" fillId="0" borderId="1" xfId="0" applyBorder="1" applyAlignment="1">
      <alignment wrapText="1"/>
    </xf>
    <xf numFmtId="166" fontId="2" fillId="0" borderId="1" xfId="1" applyNumberFormat="1" applyFont="1" applyBorder="1"/>
    <xf numFmtId="166" fontId="3" fillId="0" borderId="1" xfId="1" applyNumberFormat="1" applyFont="1" applyBorder="1"/>
    <xf numFmtId="0" fontId="4" fillId="0" borderId="1" xfId="3" applyFont="1" applyBorder="1" applyAlignment="1">
      <alignment vertical="top" wrapText="1"/>
    </xf>
    <xf numFmtId="0" fontId="3" fillId="3" borderId="1" xfId="3" applyFont="1" applyFill="1" applyBorder="1" applyAlignment="1">
      <alignment vertical="top" wrapText="1"/>
    </xf>
    <xf numFmtId="167" fontId="3" fillId="3" borderId="1" xfId="1" applyNumberFormat="1" applyFont="1" applyFill="1" applyBorder="1"/>
    <xf numFmtId="9" fontId="3" fillId="3" borderId="1" xfId="2" applyFont="1" applyFill="1" applyBorder="1"/>
    <xf numFmtId="43" fontId="3" fillId="3" borderId="1" xfId="1" applyFont="1" applyFill="1" applyBorder="1"/>
    <xf numFmtId="0" fontId="3" fillId="3" borderId="1" xfId="3" applyFont="1" applyFill="1" applyBorder="1"/>
    <xf numFmtId="9" fontId="1" fillId="3" borderId="1" xfId="4" applyFont="1" applyFill="1" applyBorder="1"/>
    <xf numFmtId="0" fontId="2" fillId="6" borderId="1" xfId="0" applyFont="1" applyFill="1" applyBorder="1" applyAlignment="1">
      <alignment wrapText="1"/>
    </xf>
    <xf numFmtId="166" fontId="0" fillId="6" borderId="1" xfId="0" applyNumberFormat="1" applyFill="1" applyBorder="1"/>
    <xf numFmtId="166" fontId="2" fillId="6" borderId="1" xfId="0" applyNumberFormat="1" applyFont="1" applyFill="1" applyBorder="1"/>
    <xf numFmtId="166" fontId="5" fillId="0" borderId="1" xfId="0" applyNumberFormat="1" applyFont="1" applyBorder="1"/>
    <xf numFmtId="0" fontId="8" fillId="7" borderId="3" xfId="5" applyNumberFormat="1" applyFont="1" applyBorder="1" applyAlignment="1" applyProtection="1"/>
    <xf numFmtId="166" fontId="8" fillId="7" borderId="3" xfId="1" applyNumberFormat="1" applyFont="1" applyFill="1" applyBorder="1" applyAlignment="1" applyProtection="1"/>
    <xf numFmtId="43" fontId="8" fillId="7" borderId="3" xfId="5" applyNumberFormat="1" applyFont="1" applyBorder="1" applyAlignment="1" applyProtection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0" fillId="0" borderId="0" xfId="0" applyNumberFormat="1"/>
    <xf numFmtId="0" fontId="0" fillId="4" borderId="0" xfId="0" applyFill="1"/>
    <xf numFmtId="0" fontId="9" fillId="4" borderId="0" xfId="0" applyFont="1" applyFill="1" applyAlignment="1">
      <alignment vertical="top"/>
    </xf>
    <xf numFmtId="168" fontId="9" fillId="4" borderId="0" xfId="0" applyNumberFormat="1" applyFont="1" applyFill="1" applyAlignment="1">
      <alignment vertical="top"/>
    </xf>
    <xf numFmtId="166" fontId="10" fillId="4" borderId="1" xfId="1" applyNumberFormat="1" applyFont="1" applyFill="1" applyBorder="1" applyAlignment="1">
      <alignment vertical="top"/>
    </xf>
    <xf numFmtId="164" fontId="10" fillId="4" borderId="1" xfId="0" applyNumberFormat="1" applyFont="1" applyFill="1" applyBorder="1" applyAlignment="1">
      <alignment vertical="top"/>
    </xf>
    <xf numFmtId="166" fontId="9" fillId="4" borderId="1" xfId="1" applyNumberFormat="1" applyFont="1" applyFill="1" applyBorder="1" applyAlignment="1">
      <alignment vertical="top"/>
    </xf>
    <xf numFmtId="166" fontId="9" fillId="4" borderId="1" xfId="1" applyNumberFormat="1" applyFont="1" applyFill="1" applyBorder="1" applyAlignment="1">
      <alignment horizontal="center" vertical="center"/>
    </xf>
    <xf numFmtId="166" fontId="2" fillId="4" borderId="1" xfId="1" applyNumberFormat="1" applyFont="1" applyFill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9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167" fontId="0" fillId="4" borderId="1" xfId="1" applyNumberFormat="1" applyFont="1" applyFill="1" applyBorder="1"/>
    <xf numFmtId="0" fontId="2" fillId="4" borderId="0" xfId="0" applyFont="1" applyFill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166" fontId="0" fillId="5" borderId="1" xfId="1" applyNumberFormat="1" applyFont="1" applyFill="1" applyBorder="1"/>
    <xf numFmtId="166" fontId="0" fillId="5" borderId="1" xfId="0" applyNumberFormat="1" applyFill="1" applyBorder="1"/>
    <xf numFmtId="166" fontId="2" fillId="5" borderId="1" xfId="0" applyNumberFormat="1" applyFont="1" applyFill="1" applyBorder="1"/>
    <xf numFmtId="0" fontId="2" fillId="10" borderId="1" xfId="0" applyFont="1" applyFill="1" applyBorder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2" fontId="0" fillId="5" borderId="1" xfId="0" applyNumberFormat="1" applyFill="1" applyBorder="1"/>
    <xf numFmtId="0" fontId="2" fillId="5" borderId="1" xfId="0" applyFont="1" applyFill="1" applyBorder="1" applyAlignment="1">
      <alignment horizontal="right" vertical="center"/>
    </xf>
    <xf numFmtId="165" fontId="2" fillId="5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2" fillId="5" borderId="1" xfId="0" applyNumberFormat="1" applyFont="1" applyFill="1" applyBorder="1" applyAlignment="1">
      <alignment horizontal="right" vertical="center"/>
    </xf>
    <xf numFmtId="2" fontId="2" fillId="5" borderId="1" xfId="0" applyNumberFormat="1" applyFont="1" applyFill="1" applyBorder="1"/>
    <xf numFmtId="166" fontId="0" fillId="11" borderId="1" xfId="0" applyNumberFormat="1" applyFill="1" applyBorder="1"/>
    <xf numFmtId="166" fontId="0" fillId="10" borderId="1" xfId="1" applyNumberFormat="1" applyFont="1" applyFill="1" applyBorder="1"/>
    <xf numFmtId="166" fontId="2" fillId="11" borderId="1" xfId="0" applyNumberFormat="1" applyFont="1" applyFill="1" applyBorder="1"/>
    <xf numFmtId="0" fontId="2" fillId="0" borderId="1" xfId="0" applyFont="1" applyBorder="1"/>
    <xf numFmtId="0" fontId="2" fillId="10" borderId="1" xfId="0" applyFont="1" applyFill="1" applyBorder="1" applyAlignment="1">
      <alignment wrapText="1"/>
    </xf>
    <xf numFmtId="165" fontId="2" fillId="10" borderId="1" xfId="1" applyNumberFormat="1" applyFont="1" applyFill="1" applyBorder="1" applyAlignment="1">
      <alignment horizontal="center"/>
    </xf>
    <xf numFmtId="0" fontId="2" fillId="10" borderId="1" xfId="0" applyFont="1" applyFill="1" applyBorder="1"/>
    <xf numFmtId="166" fontId="2" fillId="10" borderId="1" xfId="0" applyNumberFormat="1" applyFont="1" applyFill="1" applyBorder="1"/>
    <xf numFmtId="166" fontId="0" fillId="10" borderId="2" xfId="1" applyNumberFormat="1" applyFont="1" applyFill="1" applyBorder="1"/>
    <xf numFmtId="0" fontId="2" fillId="12" borderId="1" xfId="0" applyFont="1" applyFill="1" applyBorder="1" applyAlignment="1">
      <alignment vertical="center" wrapText="1"/>
    </xf>
    <xf numFmtId="166" fontId="0" fillId="12" borderId="1" xfId="1" applyNumberFormat="1" applyFont="1" applyFill="1" applyBorder="1"/>
    <xf numFmtId="166" fontId="0" fillId="13" borderId="1" xfId="0" applyNumberFormat="1" applyFill="1" applyBorder="1"/>
    <xf numFmtId="166" fontId="2" fillId="13" borderId="1" xfId="0" applyNumberFormat="1" applyFont="1" applyFill="1" applyBorder="1"/>
    <xf numFmtId="0" fontId="2" fillId="14" borderId="1" xfId="0" applyFont="1" applyFill="1" applyBorder="1" applyAlignment="1">
      <alignment wrapText="1"/>
    </xf>
    <xf numFmtId="0" fontId="2" fillId="14" borderId="1" xfId="0" applyFont="1" applyFill="1" applyBorder="1"/>
    <xf numFmtId="166" fontId="2" fillId="14" borderId="1" xfId="0" applyNumberFormat="1" applyFont="1" applyFill="1" applyBorder="1"/>
    <xf numFmtId="166" fontId="2" fillId="14" borderId="1" xfId="1" applyNumberFormat="1" applyFont="1" applyFill="1" applyBorder="1"/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2" fillId="15" borderId="1" xfId="0" applyFont="1" applyFill="1" applyBorder="1" applyAlignment="1">
      <alignment wrapText="1"/>
    </xf>
    <xf numFmtId="0" fontId="2" fillId="15" borderId="1" xfId="0" applyFont="1" applyFill="1" applyBorder="1"/>
    <xf numFmtId="3" fontId="2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166" fontId="9" fillId="4" borderId="6" xfId="1" applyNumberFormat="1" applyFont="1" applyFill="1" applyBorder="1" applyAlignment="1">
      <alignment horizontal="center" vertical="center"/>
    </xf>
    <xf numFmtId="166" fontId="9" fillId="4" borderId="7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16" borderId="1" xfId="3" applyFont="1" applyFill="1" applyBorder="1" applyAlignment="1">
      <alignment wrapText="1"/>
    </xf>
    <xf numFmtId="2" fontId="1" fillId="16" borderId="1" xfId="4" applyNumberFormat="1" applyFont="1" applyFill="1" applyBorder="1"/>
    <xf numFmtId="0" fontId="0" fillId="0" borderId="0" xfId="0" applyBorder="1" applyAlignment="1">
      <alignment wrapText="1"/>
    </xf>
    <xf numFmtId="166" fontId="0" fillId="0" borderId="0" xfId="0" applyNumberFormat="1" applyBorder="1"/>
    <xf numFmtId="166" fontId="0" fillId="0" borderId="0" xfId="1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166" fontId="2" fillId="12" borderId="1" xfId="0" applyNumberFormat="1" applyFont="1" applyFill="1" applyBorder="1" applyAlignment="1">
      <alignment horizontal="center"/>
    </xf>
    <xf numFmtId="166" fontId="0" fillId="17" borderId="1" xfId="1" applyNumberFormat="1" applyFont="1" applyFill="1" applyBorder="1"/>
    <xf numFmtId="166" fontId="2" fillId="17" borderId="1" xfId="0" applyNumberFormat="1" applyFont="1" applyFill="1" applyBorder="1" applyAlignment="1">
      <alignment horizontal="center"/>
    </xf>
    <xf numFmtId="0" fontId="0" fillId="17" borderId="1" xfId="0" applyFill="1" applyBorder="1" applyAlignment="1">
      <alignment wrapText="1"/>
    </xf>
    <xf numFmtId="166" fontId="2" fillId="17" borderId="1" xfId="0" applyNumberFormat="1" applyFont="1" applyFill="1" applyBorder="1"/>
    <xf numFmtId="166" fontId="0" fillId="12" borderId="1" xfId="1" applyNumberFormat="1" applyFont="1" applyFill="1" applyBorder="1" applyAlignment="1">
      <alignment horizontal="center"/>
    </xf>
    <xf numFmtId="166" fontId="0" fillId="18" borderId="1" xfId="1" applyNumberFormat="1" applyFont="1" applyFill="1" applyBorder="1" applyAlignment="1">
      <alignment wrapText="1"/>
    </xf>
    <xf numFmtId="166" fontId="0" fillId="18" borderId="1" xfId="1" applyNumberFormat="1" applyFont="1" applyFill="1" applyBorder="1"/>
    <xf numFmtId="166" fontId="2" fillId="18" borderId="1" xfId="0" applyNumberFormat="1" applyFont="1" applyFill="1" applyBorder="1" applyAlignment="1">
      <alignment horizontal="center"/>
    </xf>
    <xf numFmtId="0" fontId="0" fillId="18" borderId="1" xfId="0" applyFill="1" applyBorder="1" applyAlignment="1">
      <alignment wrapText="1"/>
    </xf>
    <xf numFmtId="166" fontId="2" fillId="18" borderId="1" xfId="0" applyNumberFormat="1" applyFont="1" applyFill="1" applyBorder="1"/>
    <xf numFmtId="0" fontId="2" fillId="18" borderId="1" xfId="0" applyFont="1" applyFill="1" applyBorder="1" applyAlignment="1">
      <alignment vertical="center"/>
    </xf>
    <xf numFmtId="0" fontId="2" fillId="17" borderId="1" xfId="0" applyFont="1" applyFill="1" applyBorder="1" applyAlignment="1">
      <alignment vertical="center"/>
    </xf>
    <xf numFmtId="166" fontId="0" fillId="4" borderId="1" xfId="1" applyNumberFormat="1" applyFont="1" applyFill="1" applyBorder="1"/>
    <xf numFmtId="166" fontId="2" fillId="4" borderId="1" xfId="0" applyNumberFormat="1" applyFont="1" applyFill="1" applyBorder="1"/>
    <xf numFmtId="166" fontId="0" fillId="4" borderId="1" xfId="0" applyNumberFormat="1" applyFill="1" applyBorder="1"/>
    <xf numFmtId="166" fontId="2" fillId="12" borderId="1" xfId="1" applyNumberFormat="1" applyFont="1" applyFill="1" applyBorder="1"/>
    <xf numFmtId="0" fontId="2" fillId="0" borderId="0" xfId="0" applyFont="1" applyBorder="1"/>
    <xf numFmtId="0" fontId="2" fillId="4" borderId="0" xfId="0" applyFont="1" applyFill="1" applyBorder="1"/>
    <xf numFmtId="166" fontId="2" fillId="4" borderId="0" xfId="0" applyNumberFormat="1" applyFont="1" applyFill="1" applyBorder="1" applyAlignment="1">
      <alignment horizontal="center"/>
    </xf>
    <xf numFmtId="166" fontId="2" fillId="4" borderId="0" xfId="0" applyNumberFormat="1" applyFont="1" applyFill="1" applyBorder="1"/>
    <xf numFmtId="166" fontId="0" fillId="4" borderId="1" xfId="0" applyNumberFormat="1" applyFont="1" applyFill="1" applyBorder="1"/>
    <xf numFmtId="166" fontId="0" fillId="13" borderId="1" xfId="0" applyNumberFormat="1" applyFont="1" applyFill="1" applyBorder="1"/>
    <xf numFmtId="166" fontId="0" fillId="4" borderId="6" xfId="0" applyNumberFormat="1" applyFill="1" applyBorder="1"/>
    <xf numFmtId="166" fontId="2" fillId="4" borderId="6" xfId="0" applyNumberFormat="1" applyFont="1" applyFill="1" applyBorder="1"/>
    <xf numFmtId="0" fontId="0" fillId="4" borderId="0" xfId="0" applyFill="1" applyBorder="1" applyAlignment="1">
      <alignment wrapText="1"/>
    </xf>
    <xf numFmtId="166" fontId="0" fillId="4" borderId="0" xfId="0" applyNumberFormat="1" applyFill="1" applyBorder="1"/>
    <xf numFmtId="0" fontId="0" fillId="17" borderId="6" xfId="0" applyFill="1" applyBorder="1" applyAlignment="1">
      <alignment wrapText="1"/>
    </xf>
    <xf numFmtId="0" fontId="0" fillId="4" borderId="8" xfId="0" applyFill="1" applyBorder="1" applyAlignment="1">
      <alignment wrapText="1"/>
    </xf>
    <xf numFmtId="166" fontId="0" fillId="4" borderId="8" xfId="0" applyNumberFormat="1" applyFill="1" applyBorder="1"/>
    <xf numFmtId="166" fontId="2" fillId="4" borderId="8" xfId="0" applyNumberFormat="1" applyFont="1" applyFill="1" applyBorder="1"/>
  </cellXfs>
  <cellStyles count="6">
    <cellStyle name="Comma" xfId="1" builtinId="3"/>
    <cellStyle name="Good" xfId="5" builtinId="26"/>
    <cellStyle name="Normal" xfId="0" builtinId="0"/>
    <cellStyle name="Normal 3" xfId="3" xr:uid="{43070753-4510-467B-BEB2-BF7434AC44E7}"/>
    <cellStyle name="Percent" xfId="2" builtinId="5"/>
    <cellStyle name="Percent 2" xfId="4" xr:uid="{FA12EC45-D430-4914-A5BD-20069E92BA4A}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825500</xdr:colOff>
      <xdr:row>5</xdr:row>
      <xdr:rowOff>158750</xdr:rowOff>
    </xdr:from>
    <xdr:to>
      <xdr:col>8</xdr:col>
      <xdr:colOff>811381</xdr:colOff>
      <xdr:row>6</xdr:row>
      <xdr:rowOff>505069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947DDF-AD16-4D54-BEE9-33AC26276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1850" y="2965450"/>
          <a:ext cx="5284956" cy="901944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7</xdr:col>
      <xdr:colOff>866775</xdr:colOff>
      <xdr:row>15</xdr:row>
      <xdr:rowOff>49205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7976C3B-1538-45A0-C462-7B9656F6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4550" y="3911600"/>
          <a:ext cx="4324350" cy="22621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hakil Beedassy" id="{AD3B5724-0647-4D72-B055-5BDA78B28C24}" userId="294b9e587bce8915" providerId="Windows Liv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4-03-31T04:31:12.92" personId="{AD3B5724-0647-4D72-B055-5BDA78B28C24}" id="{863B9FDC-2557-4F60-9BAC-8B7BB22A5932}">
    <text>1 m3 of biogas = 0.65 m3 of methane 
Source: IRENA, 2016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3" dT="2024-03-31T07:52:14.06" personId="{AD3B5724-0647-4D72-B055-5BDA78B28C24}" id="{998CC5F8-534E-47FE-A747-C7CB8B84D146}">
    <text>Refer to FAO Ex Ante Worksheet</text>
  </threadedComment>
  <threadedComment ref="E3" dT="2024-03-31T07:52:28.93" personId="{AD3B5724-0647-4D72-B055-5BDA78B28C24}" id="{E2651F38-96C8-48F6-ADE4-1767D7FD9988}">
    <text>Refer to FAO Ex Ante Worksheet</text>
  </threadedComment>
  <threadedComment ref="F3" dT="2024-03-31T07:52:14.06" personId="{AD3B5724-0647-4D72-B055-5BDA78B28C24}" id="{831CBC6E-27E4-40AF-80B9-1A7543AA1A29}">
    <text>Refer to FAO Ex Ante Worksheet</text>
  </threadedComment>
  <threadedComment ref="G3" dT="2024-03-31T07:52:28.93" personId="{AD3B5724-0647-4D72-B055-5BDA78B28C24}" id="{F533937D-5CD7-4F31-9F83-BD458857867A}">
    <text>Refer to FAO Ex Ante Worksheet</text>
  </threadedComment>
  <threadedComment ref="B12" dT="2024-05-21T19:02:56.81" personId="{AD3B5724-0647-4D72-B055-5BDA78B28C24}" id="{1FDA64CD-6810-4870-9AC3-C77D5983E054}">
    <text xml:space="preserve">Refer to sheet '10. Results in EX ante tool)
</text>
  </threadedComment>
  <threadedComment ref="J28" dT="2024-03-31T07:52:14.06" personId="{AD3B5724-0647-4D72-B055-5BDA78B28C24}" id="{CE256264-DB25-4E62-B81B-D6053D918573}">
    <text>Refer to FAO Ex Ante Worksheet</text>
  </threadedComment>
  <threadedComment ref="J46" dT="2024-03-31T07:52:28.93" personId="{AD3B5724-0647-4D72-B055-5BDA78B28C24}" id="{13C04CD8-07B5-4D46-AD6F-8B80EDBADEAB}">
    <text>Refer to FAO Ex Ante Worksheet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7D802-3070-4C6E-A10C-F26E5BA8996A}">
  <dimension ref="A2:X17"/>
  <sheetViews>
    <sheetView tabSelected="1" workbookViewId="0">
      <selection activeCell="B11" sqref="B11:B15"/>
    </sheetView>
  </sheetViews>
  <sheetFormatPr defaultRowHeight="14.5" x14ac:dyDescent="0.35"/>
  <cols>
    <col min="1" max="1" width="11.453125" customWidth="1"/>
    <col min="2" max="10" width="12.453125" customWidth="1"/>
    <col min="11" max="13" width="12.1796875" customWidth="1"/>
    <col min="16" max="16" width="27.90625" customWidth="1"/>
    <col min="17" max="17" width="13.453125" bestFit="1" customWidth="1"/>
    <col min="18" max="18" width="15.7265625" customWidth="1"/>
    <col min="19" max="19" width="17.90625" customWidth="1"/>
    <col min="20" max="20" width="20.90625" customWidth="1"/>
    <col min="21" max="21" width="20.6328125" customWidth="1"/>
    <col min="22" max="23" width="15.7265625" customWidth="1"/>
    <col min="24" max="24" width="12.81640625" customWidth="1"/>
  </cols>
  <sheetData>
    <row r="2" spans="1:24" ht="116" customHeight="1" x14ac:dyDescent="0.35">
      <c r="A2" s="2" t="s">
        <v>0</v>
      </c>
      <c r="B2" s="56" t="s">
        <v>68</v>
      </c>
      <c r="C2" s="56" t="s">
        <v>69</v>
      </c>
      <c r="D2" s="56" t="s">
        <v>70</v>
      </c>
      <c r="E2" s="60" t="s">
        <v>71</v>
      </c>
      <c r="F2" s="60" t="s">
        <v>72</v>
      </c>
      <c r="G2" s="60" t="s">
        <v>73</v>
      </c>
      <c r="H2" s="77" t="s">
        <v>93</v>
      </c>
      <c r="I2" s="77" t="s">
        <v>94</v>
      </c>
      <c r="J2" s="77" t="s">
        <v>95</v>
      </c>
      <c r="K2" s="81" t="s">
        <v>96</v>
      </c>
      <c r="L2" s="81" t="s">
        <v>97</v>
      </c>
      <c r="M2" s="81" t="s">
        <v>31</v>
      </c>
    </row>
    <row r="3" spans="1:24" ht="58" x14ac:dyDescent="0.35">
      <c r="A3" s="1" t="s">
        <v>1</v>
      </c>
      <c r="B3" s="57">
        <f>Solar!C32+Solar!D32+Solar!E32</f>
        <v>643.78560000000016</v>
      </c>
      <c r="C3" s="57">
        <f>Solar!C32+Solar!D32+Solar!E32+Solar!F32+Solar!G32+Solar!H32</f>
        <v>1770.4104000000002</v>
      </c>
      <c r="D3" s="58">
        <f>C3+Solar!I32</f>
        <v>9012.9984000000004</v>
      </c>
      <c r="E3" s="69"/>
      <c r="F3" s="69"/>
      <c r="G3" s="69"/>
      <c r="H3" s="78">
        <f>'Rangelands rehab + Agro forestr'!E29</f>
        <v>2662.8137940456522</v>
      </c>
      <c r="I3" s="78">
        <f>'Rangelands rehab + Agro forestr'!I29</f>
        <v>12426.464829282173</v>
      </c>
      <c r="J3" s="78">
        <f>'Rangelands rehab + Agro forestr'!J29</f>
        <v>76334</v>
      </c>
      <c r="K3" s="84">
        <f>'Rangelands rehab + Agro forestr'!E47</f>
        <v>152693.04899665184</v>
      </c>
      <c r="L3" s="84">
        <f>'Rangelands rehab + Agro forestr'!I47</f>
        <v>712567.58819397341</v>
      </c>
      <c r="M3" s="84">
        <f>'Rangelands rehab + Agro forestr'!J47</f>
        <v>4377201</v>
      </c>
      <c r="P3" s="87" t="s">
        <v>106</v>
      </c>
      <c r="Q3" s="88" t="s">
        <v>98</v>
      </c>
      <c r="R3" s="87" t="s">
        <v>100</v>
      </c>
      <c r="S3" s="87" t="s">
        <v>99</v>
      </c>
      <c r="T3" s="87" t="s">
        <v>102</v>
      </c>
      <c r="U3" s="87" t="s">
        <v>101</v>
      </c>
    </row>
    <row r="4" spans="1:24" ht="43.5" x14ac:dyDescent="0.35">
      <c r="A4" s="1" t="s">
        <v>2</v>
      </c>
      <c r="B4" s="57">
        <f>Solar!C33+Solar!D33+Solar!E33</f>
        <v>2048.0320000000002</v>
      </c>
      <c r="C4" s="57">
        <f>Solar!C33+Solar!D33+Solar!E33+Solar!F33+Solar!G33+Solar!H33</f>
        <v>5632.0880000000016</v>
      </c>
      <c r="D4" s="58">
        <f>C4+Solar!I33</f>
        <v>28672.448000000004</v>
      </c>
      <c r="E4" s="69">
        <f>Biodigester!L22+Biodigester!K22</f>
        <v>9092.2560340791642</v>
      </c>
      <c r="F4" s="69">
        <f>Biodigester!K22+Biodigester!L22+Biodigester!M22+Biodigester!N22+Biodigester!O22</f>
        <v>27276.768102237496</v>
      </c>
      <c r="G4" s="69">
        <f>Biodigester!K22+Biodigester!L22+Biodigester!M22+Biodigester!N22+Biodigester!O22+Biodigester!P22+Biodigester!Q22</f>
        <v>81830.304306712482</v>
      </c>
      <c r="H4" s="78">
        <f>'Rangelands rehab + Agro forestr'!E30</f>
        <v>177469.85105140044</v>
      </c>
      <c r="I4" s="78">
        <f>'Rangelands rehab + Agro forestr'!I30</f>
        <v>828192.6318925207</v>
      </c>
      <c r="J4" s="78">
        <f>'Rangelands rehab + Agro forestr'!J30</f>
        <v>5087469</v>
      </c>
      <c r="K4" s="84">
        <f>'Rangelands rehab + Agro forestr'!E48</f>
        <v>8928.069878832348</v>
      </c>
      <c r="L4" s="84">
        <f>'Rangelands rehab + Agro forestr'!I48</f>
        <v>41664.325781898224</v>
      </c>
      <c r="M4" s="84">
        <f>'Rangelands rehab + Agro forestr'!J48</f>
        <v>255938</v>
      </c>
      <c r="P4" s="85" t="s">
        <v>107</v>
      </c>
      <c r="Q4" s="32">
        <v>4.8</v>
      </c>
      <c r="R4" s="6">
        <f>Solar!H37</f>
        <v>6045.5760000000009</v>
      </c>
      <c r="S4" s="6">
        <f>B8</f>
        <v>9686.3856000000014</v>
      </c>
      <c r="T4" s="6">
        <f>C8</f>
        <v>26613.998400000004</v>
      </c>
      <c r="U4" s="6">
        <f>D8</f>
        <v>135434.3664</v>
      </c>
    </row>
    <row r="5" spans="1:24" ht="29" x14ac:dyDescent="0.35">
      <c r="A5" s="1" t="s">
        <v>3</v>
      </c>
      <c r="B5" s="57">
        <f>Solar!C34+Solar!D34+Solar!E34</f>
        <v>2927.3040000000001</v>
      </c>
      <c r="C5" s="57">
        <f>Solar!C34+Solar!D34+Solar!E34+Solar!F34+Solar!G34+Solar!H34</f>
        <v>8026.5239999999994</v>
      </c>
      <c r="D5" s="58">
        <f>C5+Solar!I34</f>
        <v>40807.224000000002</v>
      </c>
      <c r="E5" s="69">
        <f>Biodigester!L23+Biodigester!K23</f>
        <v>311.73449259699993</v>
      </c>
      <c r="F5" s="69">
        <f>Biodigester!K23+Biodigester!L23+Biodigester!M23+Biodigester!N23+Biodigester!O23</f>
        <v>935.20347779099984</v>
      </c>
      <c r="G5" s="69">
        <f>Biodigester!K23+Biodigester!L23+Biodigester!M23+Biodigester!N23+Biodigester!O23+Biodigester!P23+Biodigester!Q23</f>
        <v>2805.6104333729995</v>
      </c>
      <c r="H5" s="78">
        <f>'Rangelands rehab + Agro forestr'!E31</f>
        <v>59156.588047845318</v>
      </c>
      <c r="I5" s="78">
        <f>'Rangelands rehab + Agro forestr'!I31</f>
        <v>276064.06615808897</v>
      </c>
      <c r="J5" s="78">
        <f>'Rangelands rehab + Agro forestr'!J31</f>
        <v>1695823</v>
      </c>
      <c r="K5" s="84">
        <f>'Rangelands rehab + Agro forestr'!E49</f>
        <v>22320.163766780843</v>
      </c>
      <c r="L5" s="84">
        <f>'Rangelands rehab + Agro forestr'!I49</f>
        <v>52080.377821752256</v>
      </c>
      <c r="M5" s="84">
        <f>'Rangelands rehab + Agro forestr'!J49</f>
        <v>1279690</v>
      </c>
      <c r="P5" s="85" t="s">
        <v>108</v>
      </c>
      <c r="Q5" s="89">
        <v>3890</v>
      </c>
      <c r="R5" s="6">
        <f>Biodigester!O25</f>
        <v>6736.9287566796093</v>
      </c>
      <c r="S5" s="6">
        <f>E8</f>
        <v>10105.393135019413</v>
      </c>
      <c r="T5" s="6">
        <f>F8</f>
        <v>30316.179405058247</v>
      </c>
      <c r="U5" s="6">
        <f>G8</f>
        <v>90948.538215174733</v>
      </c>
      <c r="V5" s="34">
        <f>S4+S5</f>
        <v>19791.778735019412</v>
      </c>
      <c r="W5" s="34">
        <f t="shared" ref="W5:X5" si="0">T4+T5</f>
        <v>56930.177805058251</v>
      </c>
      <c r="X5" s="34">
        <f t="shared" si="0"/>
        <v>226382.90461517475</v>
      </c>
    </row>
    <row r="6" spans="1:24" x14ac:dyDescent="0.35">
      <c r="A6" s="1" t="s">
        <v>4</v>
      </c>
      <c r="B6" s="57">
        <f>Solar!C35+Solar!D35+Solar!E35</f>
        <v>2192.0320000000002</v>
      </c>
      <c r="C6" s="57">
        <f>Solar!C35+Solar!D35+Solar!E35+Solar!F35+Solar!G35+Solar!H35</f>
        <v>6028.0880000000016</v>
      </c>
      <c r="D6" s="58">
        <f>C6+Solar!I35</f>
        <v>30688.448000000004</v>
      </c>
      <c r="E6" s="69"/>
      <c r="F6" s="69"/>
      <c r="G6" s="69"/>
      <c r="H6" s="78">
        <f>'Rangelands rehab + Agro forestr'!E32</f>
        <v>9319.81</v>
      </c>
      <c r="I6" s="78">
        <f>'Rangelands rehab + Agro forestr'!I32</f>
        <v>43492.46</v>
      </c>
      <c r="J6" s="78">
        <f>'Rangelands rehab + Agro forestr'!J32</f>
        <v>267168</v>
      </c>
      <c r="K6" s="82"/>
      <c r="L6" s="82"/>
      <c r="M6" s="82"/>
      <c r="P6" s="86" t="s">
        <v>109</v>
      </c>
      <c r="Q6" s="89">
        <v>102000</v>
      </c>
      <c r="R6" s="6">
        <f>'Rangelands rehab + Agro forestr'!D9/25</f>
        <v>320405</v>
      </c>
      <c r="S6" s="6">
        <f>H8</f>
        <v>274287.3028932914</v>
      </c>
      <c r="T6" s="6">
        <f>I8</f>
        <v>1226939.0428798916</v>
      </c>
      <c r="U6" s="6">
        <f>J8</f>
        <v>8010125</v>
      </c>
    </row>
    <row r="7" spans="1:24" x14ac:dyDescent="0.35">
      <c r="A7" s="1" t="s">
        <v>5</v>
      </c>
      <c r="B7" s="57">
        <f>Solar!C36+Solar!D36+Solar!E36</f>
        <v>1875.2320000000004</v>
      </c>
      <c r="C7" s="57">
        <f>Solar!C36+Solar!D36+Solar!E36+Solar!F36+Solar!G36+Solar!H36</f>
        <v>5156.8880000000008</v>
      </c>
      <c r="D7" s="58">
        <f>C7+Solar!I36</f>
        <v>26253.248000000007</v>
      </c>
      <c r="E7" s="69">
        <f>Biodigester!K24+Biodigester!L24</f>
        <v>701.40260834324988</v>
      </c>
      <c r="F7" s="69">
        <f>Biodigester!K24+Biodigester!L24+Biodigester!M24+Biodigester!O24+Biodigester!O24</f>
        <v>2104.2078250297495</v>
      </c>
      <c r="G7" s="69">
        <f>Biodigester!K24+Biodigester!L24+Biodigester!M24+Biodigester!N24+Biodigester!O24+Biodigester!P24+Biodigester!Q24</f>
        <v>6312.623475089249</v>
      </c>
      <c r="H7" s="78">
        <f>'Rangelands rehab + Agro forestr'!E33</f>
        <v>25678.239999999998</v>
      </c>
      <c r="I7" s="78">
        <f>'Rangelands rehab + Agro forestr'!I33</f>
        <v>66763.42</v>
      </c>
      <c r="J7" s="78">
        <f>'Rangelands rehab + Agro forestr'!J33</f>
        <v>883331</v>
      </c>
      <c r="K7" s="82"/>
      <c r="L7" s="82"/>
      <c r="M7" s="82"/>
      <c r="P7" s="86" t="s">
        <v>110</v>
      </c>
      <c r="Q7" s="89">
        <v>29800</v>
      </c>
      <c r="R7" s="6">
        <f>'Rangelands rehab + Agro forestr'!E9/25</f>
        <v>236513.16</v>
      </c>
      <c r="S7" s="6">
        <f>K8</f>
        <v>183941.28264226503</v>
      </c>
      <c r="T7" s="6">
        <f>L8</f>
        <v>806312.29179762385</v>
      </c>
      <c r="U7" s="6">
        <f>M8</f>
        <v>5912829</v>
      </c>
      <c r="V7" s="34">
        <f>S6+S7</f>
        <v>458228.58553555643</v>
      </c>
      <c r="W7" s="34">
        <f t="shared" ref="W7:X7" si="1">T6+T7</f>
        <v>2033251.3346775156</v>
      </c>
      <c r="X7" s="34">
        <f t="shared" si="1"/>
        <v>13922954</v>
      </c>
    </row>
    <row r="8" spans="1:24" x14ac:dyDescent="0.35">
      <c r="A8" s="5" t="s">
        <v>14</v>
      </c>
      <c r="B8" s="59">
        <f>SUM(B3:B7)</f>
        <v>9686.3856000000014</v>
      </c>
      <c r="C8" s="59">
        <f>SUM(C3:C7)</f>
        <v>26613.998400000004</v>
      </c>
      <c r="D8" s="59">
        <f>SUM(D3:D7)</f>
        <v>135434.3664</v>
      </c>
      <c r="E8" s="70">
        <f t="shared" ref="E8:G8" si="2">SUM(E3:E7)</f>
        <v>10105.393135019413</v>
      </c>
      <c r="F8" s="70">
        <f t="shared" si="2"/>
        <v>30316.179405058247</v>
      </c>
      <c r="G8" s="70">
        <f t="shared" si="2"/>
        <v>90948.538215174733</v>
      </c>
      <c r="H8" s="123">
        <f>SUM(H3:H7)</f>
        <v>274287.3028932914</v>
      </c>
      <c r="I8" s="123">
        <f t="shared" ref="I8:J8" si="3">SUM(I3:I7)</f>
        <v>1226939.0428798916</v>
      </c>
      <c r="J8" s="123">
        <f t="shared" si="3"/>
        <v>8010125</v>
      </c>
      <c r="K8" s="83">
        <f t="shared" ref="K8" si="4">SUM(K3:K7)</f>
        <v>183941.28264226503</v>
      </c>
      <c r="L8" s="83">
        <f t="shared" ref="L8" si="5">SUM(L3:L7)</f>
        <v>806312.29179762385</v>
      </c>
      <c r="M8" s="83">
        <f t="shared" ref="M8" si="6">SUM(M3:M7)</f>
        <v>5912829</v>
      </c>
      <c r="P8" s="90" t="s">
        <v>14</v>
      </c>
      <c r="Q8" s="91"/>
      <c r="R8" s="14">
        <f>SUM(R4:R7)</f>
        <v>569700.66475667956</v>
      </c>
      <c r="S8" s="14">
        <f t="shared" ref="S8:U8" si="7">SUM(S4:S7)</f>
        <v>478020.36427057587</v>
      </c>
      <c r="T8" s="14">
        <f t="shared" si="7"/>
        <v>2090181.5124825737</v>
      </c>
      <c r="U8" s="14">
        <f t="shared" si="7"/>
        <v>14149336.904615175</v>
      </c>
    </row>
    <row r="11" spans="1:24" x14ac:dyDescent="0.35">
      <c r="A11" s="1" t="s">
        <v>1</v>
      </c>
      <c r="B11" s="34">
        <f>D3+G3+J3+M3</f>
        <v>4462547.9983999999</v>
      </c>
    </row>
    <row r="12" spans="1:24" ht="15" thickBot="1" x14ac:dyDescent="0.4">
      <c r="A12" s="1" t="s">
        <v>2</v>
      </c>
      <c r="B12" s="34">
        <f t="shared" ref="B12:B15" si="8">D4+G4+J4+M4</f>
        <v>5453909.7523067128</v>
      </c>
    </row>
    <row r="13" spans="1:24" ht="15.5" thickTop="1" thickBot="1" x14ac:dyDescent="0.4">
      <c r="A13" s="1" t="s">
        <v>3</v>
      </c>
      <c r="B13" s="34">
        <f t="shared" si="8"/>
        <v>3019125.8344333731</v>
      </c>
      <c r="P13" s="29" t="s">
        <v>6</v>
      </c>
      <c r="Q13" s="30">
        <f>335300000</f>
        <v>335300000</v>
      </c>
    </row>
    <row r="14" spans="1:24" ht="15.5" thickTop="1" thickBot="1" x14ac:dyDescent="0.4">
      <c r="A14" s="1" t="s">
        <v>4</v>
      </c>
      <c r="B14" s="34">
        <f t="shared" si="8"/>
        <v>297856.44799999997</v>
      </c>
      <c r="P14" s="29" t="s">
        <v>103</v>
      </c>
      <c r="Q14" s="30">
        <f>151000000</f>
        <v>151000000</v>
      </c>
    </row>
    <row r="15" spans="1:24" ht="15.5" thickTop="1" thickBot="1" x14ac:dyDescent="0.4">
      <c r="A15" s="1" t="s">
        <v>5</v>
      </c>
      <c r="B15" s="34">
        <f t="shared" si="8"/>
        <v>915896.87147508922</v>
      </c>
      <c r="K15" s="50"/>
      <c r="P15" s="29" t="s">
        <v>104</v>
      </c>
      <c r="Q15" s="30">
        <v>16350000</v>
      </c>
    </row>
    <row r="16" spans="1:24" ht="15.5" thickTop="1" thickBot="1" x14ac:dyDescent="0.4">
      <c r="B16" s="34">
        <f>SUM(B11:B15)</f>
        <v>14149336.904615177</v>
      </c>
      <c r="P16" s="29" t="s">
        <v>7</v>
      </c>
      <c r="Q16" s="31">
        <f>Q15/U8</f>
        <v>1.155531182147979</v>
      </c>
    </row>
    <row r="17" ht="15" thickTop="1" x14ac:dyDescent="0.35"/>
  </sheetData>
  <mergeCells count="1">
    <mergeCell ref="P8:Q8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BF82F-A512-471D-8E52-DAE44ECC4475}">
  <dimension ref="A2:Z39"/>
  <sheetViews>
    <sheetView topLeftCell="A18" workbookViewId="0">
      <selection activeCell="E44" sqref="E44"/>
    </sheetView>
  </sheetViews>
  <sheetFormatPr defaultRowHeight="14.5" x14ac:dyDescent="0.35"/>
  <cols>
    <col min="1" max="1" width="21.54296875" customWidth="1"/>
    <col min="2" max="2" width="15.1796875" customWidth="1"/>
    <col min="3" max="3" width="24.08984375" customWidth="1"/>
    <col min="4" max="5" width="12" customWidth="1"/>
    <col min="6" max="6" width="35" customWidth="1"/>
    <col min="7" max="8" width="14.453125" customWidth="1"/>
    <col min="9" max="9" width="21.81640625" customWidth="1"/>
    <col min="10" max="10" width="19.54296875" bestFit="1" customWidth="1"/>
    <col min="11" max="11" width="20.81640625" bestFit="1" customWidth="1"/>
    <col min="12" max="12" width="19.54296875" bestFit="1" customWidth="1"/>
    <col min="13" max="24" width="13.453125" customWidth="1"/>
  </cols>
  <sheetData>
    <row r="2" spans="1:9" ht="51" customHeight="1" x14ac:dyDescent="0.35">
      <c r="F2" s="93" t="s">
        <v>40</v>
      </c>
      <c r="G2" s="93"/>
      <c r="H2" s="96" t="s">
        <v>41</v>
      </c>
      <c r="I2" s="96"/>
    </row>
    <row r="3" spans="1:9" ht="40" customHeight="1" x14ac:dyDescent="0.35">
      <c r="F3" s="45"/>
      <c r="G3" s="45"/>
      <c r="H3" s="44"/>
      <c r="I3" s="44"/>
    </row>
    <row r="4" spans="1:9" ht="72" customHeight="1" x14ac:dyDescent="0.35">
      <c r="A4" s="93" t="s">
        <v>45</v>
      </c>
      <c r="B4" s="93"/>
      <c r="C4" s="93"/>
      <c r="F4" s="47" t="s">
        <v>51</v>
      </c>
      <c r="G4" s="48">
        <v>0.9</v>
      </c>
      <c r="H4" s="44"/>
      <c r="I4" s="44"/>
    </row>
    <row r="5" spans="1:9" ht="43.5" x14ac:dyDescent="0.35">
      <c r="A5" s="46" t="s">
        <v>44</v>
      </c>
      <c r="B5" s="1">
        <v>1835</v>
      </c>
      <c r="C5" s="15" t="s">
        <v>46</v>
      </c>
      <c r="F5" s="48" t="s">
        <v>52</v>
      </c>
      <c r="G5" s="48">
        <f>2.72*0.055</f>
        <v>0.14960000000000001</v>
      </c>
    </row>
    <row r="6" spans="1:9" ht="43.5" x14ac:dyDescent="0.35">
      <c r="A6" s="46" t="s">
        <v>47</v>
      </c>
      <c r="B6" s="1">
        <v>1750</v>
      </c>
      <c r="C6" s="15" t="s">
        <v>46</v>
      </c>
    </row>
    <row r="7" spans="1:9" ht="43.5" x14ac:dyDescent="0.35">
      <c r="A7" s="46" t="s">
        <v>48</v>
      </c>
      <c r="B7" s="1">
        <v>1700</v>
      </c>
      <c r="C7" s="15" t="s">
        <v>46</v>
      </c>
    </row>
    <row r="8" spans="1:9" ht="43.5" x14ac:dyDescent="0.35">
      <c r="A8" s="46" t="s">
        <v>49</v>
      </c>
      <c r="B8" s="1">
        <v>1875</v>
      </c>
      <c r="C8" s="15" t="s">
        <v>46</v>
      </c>
    </row>
    <row r="9" spans="1:9" ht="43.5" x14ac:dyDescent="0.35">
      <c r="A9" s="46" t="s">
        <v>50</v>
      </c>
      <c r="B9" s="1">
        <v>1600</v>
      </c>
      <c r="C9" s="15" t="s">
        <v>46</v>
      </c>
    </row>
    <row r="10" spans="1:9" x14ac:dyDescent="0.35">
      <c r="A10" s="46" t="s">
        <v>55</v>
      </c>
      <c r="B10" s="1">
        <v>0.8</v>
      </c>
      <c r="C10" s="50"/>
    </row>
    <row r="11" spans="1:9" x14ac:dyDescent="0.35">
      <c r="A11" s="49"/>
      <c r="C11" s="50"/>
    </row>
    <row r="12" spans="1:9" x14ac:dyDescent="0.35">
      <c r="A12" s="49"/>
      <c r="C12" s="50"/>
    </row>
    <row r="13" spans="1:9" x14ac:dyDescent="0.35">
      <c r="A13" s="49"/>
      <c r="C13" s="50"/>
    </row>
    <row r="14" spans="1:9" x14ac:dyDescent="0.35">
      <c r="A14" s="49"/>
      <c r="C14" s="50"/>
    </row>
    <row r="15" spans="1:9" x14ac:dyDescent="0.35">
      <c r="A15" s="49"/>
      <c r="C15" s="50"/>
    </row>
    <row r="16" spans="1:9" x14ac:dyDescent="0.35">
      <c r="A16" s="49"/>
      <c r="C16" s="50"/>
    </row>
    <row r="17" spans="1:26" x14ac:dyDescent="0.35">
      <c r="A17" s="46"/>
      <c r="B17" s="51" t="s">
        <v>33</v>
      </c>
      <c r="C17" s="51" t="s">
        <v>34</v>
      </c>
      <c r="D17" s="51" t="s">
        <v>35</v>
      </c>
      <c r="E17" s="51" t="s">
        <v>36</v>
      </c>
      <c r="F17" s="51" t="s">
        <v>37</v>
      </c>
      <c r="G17" s="51" t="s">
        <v>58</v>
      </c>
      <c r="H17" s="51" t="s">
        <v>66</v>
      </c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</row>
    <row r="18" spans="1:26" ht="29" x14ac:dyDescent="0.35">
      <c r="A18" s="46" t="s">
        <v>57</v>
      </c>
      <c r="B18" s="1">
        <v>0.3</v>
      </c>
      <c r="C18" s="15">
        <v>0.55000000000000004</v>
      </c>
      <c r="D18" s="1">
        <v>0.75</v>
      </c>
      <c r="E18" s="1">
        <v>0.85</v>
      </c>
      <c r="F18" s="1">
        <v>0.95</v>
      </c>
      <c r="G18" s="1">
        <v>1</v>
      </c>
      <c r="H18" s="1">
        <v>1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x14ac:dyDescent="0.35">
      <c r="A19" s="92"/>
      <c r="B19" s="92"/>
      <c r="C19" s="92"/>
      <c r="D19" s="92"/>
    </row>
    <row r="21" spans="1:26" ht="58" x14ac:dyDescent="0.35">
      <c r="A21" s="2" t="s">
        <v>0</v>
      </c>
      <c r="B21" s="3" t="s">
        <v>42</v>
      </c>
      <c r="C21" s="3" t="s">
        <v>43</v>
      </c>
      <c r="D21" s="3" t="s">
        <v>39</v>
      </c>
      <c r="E21" s="3" t="s">
        <v>53</v>
      </c>
      <c r="F21" s="3" t="s">
        <v>54</v>
      </c>
      <c r="G21" s="3" t="s">
        <v>56</v>
      </c>
      <c r="H21" s="3" t="s">
        <v>74</v>
      </c>
      <c r="I21" s="53"/>
      <c r="J21" s="53"/>
      <c r="K21" s="53"/>
      <c r="L21" s="53"/>
      <c r="M21" s="53"/>
      <c r="N21" s="53"/>
      <c r="O21" s="53"/>
      <c r="P21" s="53"/>
      <c r="Q21" s="53"/>
      <c r="R21" s="53"/>
    </row>
    <row r="22" spans="1:26" x14ac:dyDescent="0.35">
      <c r="A22" s="1" t="s">
        <v>1</v>
      </c>
      <c r="B22" s="38">
        <v>300</v>
      </c>
      <c r="C22" s="39">
        <v>1.5</v>
      </c>
      <c r="D22" s="38">
        <f>B22*C22*1000</f>
        <v>450000</v>
      </c>
      <c r="E22" s="38">
        <v>5</v>
      </c>
      <c r="F22" s="38">
        <f>B22/E22</f>
        <v>60</v>
      </c>
      <c r="G22" s="38">
        <f>B22*B5*$B$10/1000</f>
        <v>440.4</v>
      </c>
      <c r="H22" s="54">
        <f>G22/F22</f>
        <v>7.34</v>
      </c>
    </row>
    <row r="23" spans="1:26" x14ac:dyDescent="0.35">
      <c r="A23" s="1" t="s">
        <v>2</v>
      </c>
      <c r="B23" s="38">
        <v>1000</v>
      </c>
      <c r="C23" s="39">
        <v>1.5</v>
      </c>
      <c r="D23" s="38">
        <f t="shared" ref="D23:D26" si="0">B23*C23*1000</f>
        <v>1500000</v>
      </c>
      <c r="E23" s="38">
        <v>5</v>
      </c>
      <c r="F23" s="38">
        <f t="shared" ref="F23:F26" si="1">B23/E23</f>
        <v>200</v>
      </c>
      <c r="G23" s="38">
        <f>B23*B6*$B$10/1000</f>
        <v>1400</v>
      </c>
      <c r="H23" s="54">
        <f t="shared" ref="H23:H26" si="2">G23/F23</f>
        <v>7</v>
      </c>
    </row>
    <row r="24" spans="1:26" x14ac:dyDescent="0.35">
      <c r="A24" s="1" t="s">
        <v>3</v>
      </c>
      <c r="B24" s="38">
        <v>1500</v>
      </c>
      <c r="C24" s="39">
        <v>1.5</v>
      </c>
      <c r="D24" s="38">
        <f t="shared" si="0"/>
        <v>2250000</v>
      </c>
      <c r="E24" s="38">
        <v>5</v>
      </c>
      <c r="F24" s="38">
        <f t="shared" si="1"/>
        <v>300</v>
      </c>
      <c r="G24" s="38">
        <f>B24*B7*$B$10/1000</f>
        <v>2040</v>
      </c>
      <c r="H24" s="54">
        <f t="shared" si="2"/>
        <v>6.8</v>
      </c>
    </row>
    <row r="25" spans="1:26" x14ac:dyDescent="0.35">
      <c r="A25" s="1" t="s">
        <v>4</v>
      </c>
      <c r="B25" s="38">
        <v>1000</v>
      </c>
      <c r="C25" s="39">
        <v>1.5</v>
      </c>
      <c r="D25" s="38">
        <f t="shared" si="0"/>
        <v>1500000</v>
      </c>
      <c r="E25" s="38">
        <v>5</v>
      </c>
      <c r="F25" s="38">
        <f t="shared" si="1"/>
        <v>200</v>
      </c>
      <c r="G25" s="38">
        <f>B25*B8*$B$10/1000</f>
        <v>1500</v>
      </c>
      <c r="H25" s="54">
        <f t="shared" si="2"/>
        <v>7.5</v>
      </c>
    </row>
    <row r="26" spans="1:26" x14ac:dyDescent="0.35">
      <c r="A26" s="1" t="s">
        <v>5</v>
      </c>
      <c r="B26" s="38">
        <v>1000</v>
      </c>
      <c r="C26" s="39">
        <v>1.5</v>
      </c>
      <c r="D26" s="38">
        <f t="shared" si="0"/>
        <v>1500000</v>
      </c>
      <c r="E26" s="38">
        <v>5</v>
      </c>
      <c r="F26" s="38">
        <f t="shared" si="1"/>
        <v>200</v>
      </c>
      <c r="G26" s="38">
        <f>B26*B9*$B$10/1000</f>
        <v>1280</v>
      </c>
      <c r="H26" s="54">
        <f t="shared" si="2"/>
        <v>6.4</v>
      </c>
    </row>
    <row r="27" spans="1:26" s="43" customFormat="1" x14ac:dyDescent="0.35">
      <c r="A27" s="41" t="s">
        <v>18</v>
      </c>
      <c r="B27" s="41">
        <f>SUM(B22:B26)</f>
        <v>4800</v>
      </c>
      <c r="C27" s="41"/>
      <c r="D27" s="41">
        <f>SUM(D22:D26)</f>
        <v>7200000</v>
      </c>
      <c r="E27" s="41"/>
      <c r="F27" s="41"/>
      <c r="G27" s="41">
        <f>SUM(G22:G26)</f>
        <v>6660.4</v>
      </c>
      <c r="H27" s="42"/>
    </row>
    <row r="28" spans="1:26" x14ac:dyDescent="0.35">
      <c r="A28" s="36"/>
      <c r="B28" s="37"/>
      <c r="C28" s="37"/>
      <c r="D28" s="37"/>
      <c r="E28" s="37"/>
      <c r="F28" s="37"/>
      <c r="G28" s="37"/>
      <c r="H28" s="35"/>
    </row>
    <row r="29" spans="1:26" x14ac:dyDescent="0.35">
      <c r="A29" s="36"/>
      <c r="B29" s="37"/>
      <c r="C29" s="37"/>
      <c r="D29" s="37"/>
      <c r="E29" s="37"/>
      <c r="F29" s="37"/>
      <c r="G29" s="37"/>
      <c r="H29" s="35"/>
    </row>
    <row r="30" spans="1:26" x14ac:dyDescent="0.35">
      <c r="A30" s="36"/>
      <c r="B30" s="37"/>
      <c r="C30" s="37"/>
      <c r="D30" s="37"/>
      <c r="E30" s="37"/>
      <c r="F30" s="37"/>
      <c r="G30" s="37"/>
      <c r="H30" s="35"/>
    </row>
    <row r="31" spans="1:26" ht="58" x14ac:dyDescent="0.35">
      <c r="A31" s="2" t="s">
        <v>0</v>
      </c>
      <c r="B31" s="3" t="s">
        <v>42</v>
      </c>
      <c r="C31" s="3" t="s">
        <v>59</v>
      </c>
      <c r="D31" s="3" t="s">
        <v>60</v>
      </c>
      <c r="E31" s="3" t="s">
        <v>61</v>
      </c>
      <c r="F31" s="3" t="s">
        <v>62</v>
      </c>
      <c r="G31" s="3" t="s">
        <v>63</v>
      </c>
      <c r="H31" s="52" t="s">
        <v>64</v>
      </c>
      <c r="I31" s="3" t="s">
        <v>65</v>
      </c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spans="1:26" x14ac:dyDescent="0.35">
      <c r="A32" s="1" t="s">
        <v>1</v>
      </c>
      <c r="B32" s="38">
        <v>300</v>
      </c>
      <c r="C32" s="38">
        <f>($F$22*B18)*((($H$22-0.055)*$G$4)+$G$5)</f>
        <v>120.70980000000002</v>
      </c>
      <c r="D32" s="38">
        <f t="shared" ref="D32:H32" si="3">($F$22*C18)*((($H$22-0.055)*$G$4)+$G$5)</f>
        <v>221.30130000000003</v>
      </c>
      <c r="E32" s="38">
        <f>($F$22*D18)*((($H$22-0.055)*$G$4)+$G$5)</f>
        <v>301.77450000000005</v>
      </c>
      <c r="F32" s="38">
        <f t="shared" si="3"/>
        <v>342.01110000000006</v>
      </c>
      <c r="G32" s="38">
        <f t="shared" si="3"/>
        <v>382.24770000000007</v>
      </c>
      <c r="H32" s="38">
        <f t="shared" si="3"/>
        <v>402.36600000000004</v>
      </c>
      <c r="I32" s="38">
        <f>(($F$22*H18)*((($H$22-0.055)*$G$4)+$G$5))*18</f>
        <v>7242.5880000000006</v>
      </c>
    </row>
    <row r="33" spans="1:9" x14ac:dyDescent="0.35">
      <c r="A33" s="1" t="s">
        <v>2</v>
      </c>
      <c r="B33" s="38">
        <v>1000</v>
      </c>
      <c r="C33" s="38">
        <f>($F$23*B18)*( (($H$23-0.055)*$G$4)+$G$5)</f>
        <v>384.00600000000009</v>
      </c>
      <c r="D33" s="38">
        <f t="shared" ref="D33:H33" si="4">($F$23*C18)*( (($H$23-0.055)*$G$4)+$G$5)</f>
        <v>704.01100000000019</v>
      </c>
      <c r="E33" s="38">
        <f t="shared" si="4"/>
        <v>960.0150000000001</v>
      </c>
      <c r="F33" s="38">
        <f t="shared" si="4"/>
        <v>1088.0170000000003</v>
      </c>
      <c r="G33" s="38">
        <f t="shared" si="4"/>
        <v>1216.0190000000002</v>
      </c>
      <c r="H33" s="38">
        <f t="shared" si="4"/>
        <v>1280.0200000000002</v>
      </c>
      <c r="I33" s="38">
        <f>($F$23*H18)*( (($H$23-0.055)*$G$4)+$G$5) *18</f>
        <v>23040.360000000004</v>
      </c>
    </row>
    <row r="34" spans="1:9" x14ac:dyDescent="0.35">
      <c r="A34" s="1" t="s">
        <v>3</v>
      </c>
      <c r="B34" s="38">
        <v>1500</v>
      </c>
      <c r="C34" s="38">
        <f>($F24*B18)*((($H$24-0.055)*$G$4)+G5)</f>
        <v>559.80900000000008</v>
      </c>
      <c r="D34" s="38">
        <f t="shared" ref="D34:H34" si="5">($F24*C18)*((($H$24-0.055)*$G$4)+H5)</f>
        <v>1001.6325000000001</v>
      </c>
      <c r="E34" s="38">
        <f t="shared" si="5"/>
        <v>1365.8625</v>
      </c>
      <c r="F34" s="38">
        <f t="shared" si="5"/>
        <v>1547.9775</v>
      </c>
      <c r="G34" s="38">
        <f t="shared" si="5"/>
        <v>1730.0925</v>
      </c>
      <c r="H34" s="38">
        <f t="shared" si="5"/>
        <v>1821.15</v>
      </c>
      <c r="I34" s="38">
        <f>($F24*H18)*((($H$24-0.055)*$G$4)+M5)*18</f>
        <v>32780.700000000004</v>
      </c>
    </row>
    <row r="35" spans="1:9" x14ac:dyDescent="0.35">
      <c r="A35" s="1" t="s">
        <v>4</v>
      </c>
      <c r="B35" s="38">
        <v>1000</v>
      </c>
      <c r="C35" s="38">
        <f>($F$25*B18)*((($H$25-0.055)*$G$4)+$G$5)</f>
        <v>411.00600000000009</v>
      </c>
      <c r="D35" s="38">
        <f t="shared" ref="D35:H35" si="6">($F$25*C18)*((($H$25-0.055)*$G$4)+$G$5)</f>
        <v>753.51100000000019</v>
      </c>
      <c r="E35" s="38">
        <f t="shared" si="6"/>
        <v>1027.5150000000001</v>
      </c>
      <c r="F35" s="38">
        <f t="shared" si="6"/>
        <v>1164.5170000000003</v>
      </c>
      <c r="G35" s="38">
        <f t="shared" si="6"/>
        <v>1301.5190000000002</v>
      </c>
      <c r="H35" s="38">
        <f t="shared" si="6"/>
        <v>1370.0200000000002</v>
      </c>
      <c r="I35" s="38">
        <f>(($F$25*H18)*((($H$25-0.055)*$G$4)+$G$5))*18</f>
        <v>24660.360000000004</v>
      </c>
    </row>
    <row r="36" spans="1:9" x14ac:dyDescent="0.35">
      <c r="A36" s="1" t="s">
        <v>5</v>
      </c>
      <c r="B36" s="38">
        <v>1000</v>
      </c>
      <c r="C36" s="38">
        <f>($F$26*B18)*((($H$26-0.055)*$G$4)+$G$5)</f>
        <v>351.60600000000005</v>
      </c>
      <c r="D36" s="38">
        <f t="shared" ref="D36:H36" si="7">($F$26*C18)*((($H$26-0.055)*$G$4)+$G$5)</f>
        <v>644.61100000000022</v>
      </c>
      <c r="E36" s="38">
        <f t="shared" si="7"/>
        <v>879.0150000000001</v>
      </c>
      <c r="F36" s="38">
        <f t="shared" si="7"/>
        <v>996.21700000000021</v>
      </c>
      <c r="G36" s="38">
        <f t="shared" si="7"/>
        <v>1113.4190000000001</v>
      </c>
      <c r="H36" s="38">
        <f t="shared" si="7"/>
        <v>1172.0200000000002</v>
      </c>
      <c r="I36" s="38">
        <f>(($F$26*H18)*((($H$26-0.055)*$G$4)+$G$5))*18</f>
        <v>21096.360000000004</v>
      </c>
    </row>
    <row r="37" spans="1:9" x14ac:dyDescent="0.35">
      <c r="A37" s="41" t="s">
        <v>18</v>
      </c>
      <c r="B37" s="41">
        <f>SUM(B32:B36)</f>
        <v>4800</v>
      </c>
      <c r="C37" s="40">
        <f>SUM(C32:C36)</f>
        <v>1827.1368000000002</v>
      </c>
      <c r="D37" s="40">
        <f t="shared" ref="D37:I37" si="8">SUM(D32:D36)</f>
        <v>3325.066800000001</v>
      </c>
      <c r="E37" s="40">
        <f t="shared" si="8"/>
        <v>4534.1820000000007</v>
      </c>
      <c r="F37" s="40">
        <f t="shared" si="8"/>
        <v>5138.7396000000008</v>
      </c>
      <c r="G37" s="40">
        <f t="shared" si="8"/>
        <v>5743.2972000000009</v>
      </c>
      <c r="H37" s="40">
        <f t="shared" si="8"/>
        <v>6045.5760000000009</v>
      </c>
      <c r="I37" s="40">
        <f t="shared" si="8"/>
        <v>108820.36800000002</v>
      </c>
    </row>
    <row r="38" spans="1:9" x14ac:dyDescent="0.35">
      <c r="A38" s="94" t="s">
        <v>67</v>
      </c>
      <c r="B38" s="95"/>
      <c r="C38" s="40">
        <f>C37</f>
        <v>1827.1368000000002</v>
      </c>
      <c r="D38" s="40">
        <f>C38+D37</f>
        <v>5152.2036000000007</v>
      </c>
      <c r="E38" s="40">
        <f>D38+E37</f>
        <v>9686.3856000000014</v>
      </c>
      <c r="F38" s="40">
        <f t="shared" ref="E38:I38" si="9">E38+F37</f>
        <v>14825.125200000002</v>
      </c>
      <c r="G38" s="40">
        <f t="shared" si="9"/>
        <v>20568.422400000003</v>
      </c>
      <c r="H38" s="40">
        <f t="shared" si="9"/>
        <v>26613.998400000004</v>
      </c>
      <c r="I38" s="40">
        <f t="shared" si="9"/>
        <v>135434.36640000003</v>
      </c>
    </row>
    <row r="39" spans="1:9" x14ac:dyDescent="0.35">
      <c r="A39" s="36"/>
      <c r="B39" s="37"/>
      <c r="C39" s="37"/>
      <c r="D39" s="37"/>
      <c r="E39" s="37"/>
      <c r="F39" s="37"/>
      <c r="G39" s="37"/>
      <c r="H39" s="35"/>
    </row>
  </sheetData>
  <mergeCells count="5">
    <mergeCell ref="A19:D19"/>
    <mergeCell ref="A4:C4"/>
    <mergeCell ref="A38:B38"/>
    <mergeCell ref="F2:G2"/>
    <mergeCell ref="H2:I2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EC595-1559-43E9-9D05-B171D726BBF2}">
  <dimension ref="A2:Q29"/>
  <sheetViews>
    <sheetView topLeftCell="B10" workbookViewId="0">
      <selection activeCell="L26" sqref="L26"/>
    </sheetView>
  </sheetViews>
  <sheetFormatPr defaultRowHeight="14.5" x14ac:dyDescent="0.35"/>
  <cols>
    <col min="1" max="1" width="16.1796875" customWidth="1"/>
    <col min="2" max="2" width="17.453125" customWidth="1"/>
    <col min="3" max="3" width="15.54296875" customWidth="1"/>
    <col min="4" max="4" width="16.453125" customWidth="1"/>
    <col min="5" max="5" width="15.1796875" bestFit="1" customWidth="1"/>
    <col min="6" max="6" width="18.81640625" customWidth="1"/>
    <col min="7" max="7" width="16.1796875" customWidth="1"/>
    <col min="8" max="8" width="19.81640625" customWidth="1"/>
    <col min="9" max="9" width="18.81640625" customWidth="1"/>
    <col min="10" max="11" width="15.453125" customWidth="1"/>
    <col min="12" max="12" width="15.81640625" customWidth="1"/>
    <col min="13" max="13" width="14.1796875" customWidth="1"/>
    <col min="14" max="17" width="14.36328125" customWidth="1"/>
  </cols>
  <sheetData>
    <row r="2" spans="1:13" ht="92.5" customHeight="1" x14ac:dyDescent="0.35">
      <c r="A2" s="2" t="s">
        <v>0</v>
      </c>
      <c r="B2" s="3" t="s">
        <v>8</v>
      </c>
      <c r="C2" s="3" t="s">
        <v>32</v>
      </c>
      <c r="D2" s="4" t="s">
        <v>9</v>
      </c>
      <c r="E2" s="4" t="s">
        <v>10</v>
      </c>
      <c r="F2" s="4" t="s">
        <v>78</v>
      </c>
      <c r="G2" s="4" t="s">
        <v>11</v>
      </c>
      <c r="H2" s="4" t="s">
        <v>79</v>
      </c>
      <c r="I2" s="4" t="s">
        <v>80</v>
      </c>
      <c r="J2" s="25" t="s">
        <v>81</v>
      </c>
      <c r="K2" s="4" t="s">
        <v>12</v>
      </c>
      <c r="L2" s="3" t="s">
        <v>13</v>
      </c>
      <c r="M2" s="25" t="s">
        <v>82</v>
      </c>
    </row>
    <row r="3" spans="1:13" x14ac:dyDescent="0.35">
      <c r="A3" s="1" t="s">
        <v>2</v>
      </c>
      <c r="B3" s="13">
        <v>3500</v>
      </c>
      <c r="C3" s="6">
        <f>B3*0.4*365</f>
        <v>511000</v>
      </c>
      <c r="D3" s="1">
        <v>0.65</v>
      </c>
      <c r="E3" s="6">
        <f t="shared" ref="E3:E5" si="0">C3*D3</f>
        <v>332150</v>
      </c>
      <c r="F3" s="6">
        <f>E3*0.67</f>
        <v>222540.5</v>
      </c>
      <c r="G3" s="6">
        <f t="shared" ref="G3:G5" si="1">F3/1000</f>
        <v>222.54050000000001</v>
      </c>
      <c r="H3" s="6">
        <f>G3*28</f>
        <v>6231.134</v>
      </c>
      <c r="I3" s="6">
        <f t="shared" ref="I3:I5" si="2">G3*(44/16)</f>
        <v>611.98637500000007</v>
      </c>
      <c r="J3" s="26">
        <f t="shared" ref="J3:J5" si="3">H3-I3</f>
        <v>5619.1476249999996</v>
      </c>
      <c r="K3" s="13">
        <f>(C3*$C$23*$C$22/$C$20)*$C$21</f>
        <v>491507.10857715964</v>
      </c>
      <c r="L3" s="13">
        <f>((C3*$C$23*$C$22/$C$20)*$C$21)/(365*12)</f>
        <v>112.21623483496795</v>
      </c>
      <c r="M3" s="26">
        <f>K3*$C$24/1000</f>
        <v>442.35639771944363</v>
      </c>
    </row>
    <row r="4" spans="1:13" x14ac:dyDescent="0.35">
      <c r="A4" s="1" t="s">
        <v>3</v>
      </c>
      <c r="B4" s="13">
        <v>120</v>
      </c>
      <c r="C4" s="6">
        <f t="shared" ref="C4:C5" si="4">B4*0.4*365</f>
        <v>17520</v>
      </c>
      <c r="D4" s="1">
        <v>0.65</v>
      </c>
      <c r="E4" s="6">
        <f t="shared" si="0"/>
        <v>11388</v>
      </c>
      <c r="F4" s="6">
        <f t="shared" ref="F4:F5" si="5">E4*0.67</f>
        <v>7629.96</v>
      </c>
      <c r="G4" s="6">
        <f t="shared" si="1"/>
        <v>7.6299599999999996</v>
      </c>
      <c r="H4" s="6">
        <f t="shared" ref="H4:H5" si="6">G4*28</f>
        <v>213.63888</v>
      </c>
      <c r="I4" s="6">
        <f t="shared" si="2"/>
        <v>20.982389999999999</v>
      </c>
      <c r="J4" s="26">
        <f t="shared" si="3"/>
        <v>192.65648999999999</v>
      </c>
      <c r="K4" s="13">
        <f>(C4*$C$23*$C$22/$C$20)*$C$21</f>
        <v>16851.672294074044</v>
      </c>
      <c r="L4" s="13">
        <f>((C4*$C$23*$C$22/$C$20)*$C$21)/(365*12)</f>
        <v>3.8474137657703298</v>
      </c>
      <c r="M4" s="26">
        <f>K4*$C$24/1000</f>
        <v>15.166505064666641</v>
      </c>
    </row>
    <row r="5" spans="1:13" x14ac:dyDescent="0.35">
      <c r="A5" s="1" t="s">
        <v>5</v>
      </c>
      <c r="B5" s="13">
        <v>270</v>
      </c>
      <c r="C5" s="6">
        <f t="shared" si="4"/>
        <v>39420</v>
      </c>
      <c r="D5" s="1">
        <v>0.65</v>
      </c>
      <c r="E5" s="6">
        <f t="shared" si="0"/>
        <v>25623</v>
      </c>
      <c r="F5" s="6">
        <f t="shared" si="5"/>
        <v>17167.41</v>
      </c>
      <c r="G5" s="6">
        <f t="shared" si="1"/>
        <v>17.16741</v>
      </c>
      <c r="H5" s="6">
        <f t="shared" si="6"/>
        <v>480.68747999999999</v>
      </c>
      <c r="I5" s="6">
        <f t="shared" si="2"/>
        <v>47.2103775</v>
      </c>
      <c r="J5" s="26">
        <f t="shared" si="3"/>
        <v>433.4771025</v>
      </c>
      <c r="K5" s="13">
        <f>(C5*$C$23*$C$22/$C$20)*$C$21</f>
        <v>37916.262661666602</v>
      </c>
      <c r="L5" s="13">
        <f>((C5*$C$23*$C$22/$C$20)*$C$21)/(365*12)</f>
        <v>8.6566809729832421</v>
      </c>
      <c r="M5" s="26">
        <f>K5*$C$24/1000</f>
        <v>34.124636395499941</v>
      </c>
    </row>
    <row r="6" spans="1:13" x14ac:dyDescent="0.35">
      <c r="A6" s="15" t="s">
        <v>14</v>
      </c>
      <c r="B6" s="7">
        <f>SUM(B3:B5)</f>
        <v>3890</v>
      </c>
      <c r="C6" s="16">
        <f>SUM(C3:C5)</f>
        <v>567940</v>
      </c>
      <c r="D6" s="1"/>
      <c r="E6" s="14">
        <f>SUM(E3:E5)</f>
        <v>369161</v>
      </c>
      <c r="F6" s="16">
        <f>SUM(F3:F5)</f>
        <v>247337.87</v>
      </c>
      <c r="G6" s="1"/>
      <c r="H6" s="14">
        <f>SUM(H3:H5)</f>
        <v>6925.46036</v>
      </c>
      <c r="I6" s="6">
        <f>SUM(I3:I5)</f>
        <v>680.17914250000013</v>
      </c>
      <c r="J6" s="27">
        <f>SUM(J3:J5)</f>
        <v>6245.2812174999999</v>
      </c>
      <c r="K6" s="14">
        <f>SUM(K3:K5)</f>
        <v>546275.04353290028</v>
      </c>
      <c r="L6" s="28">
        <f>((C6*$C$23*$C$22/$C$20)*$C$21)/(365*12)</f>
        <v>124.72032957372153</v>
      </c>
      <c r="M6" s="26">
        <f>SUM(M3:M5)</f>
        <v>491.64753917961019</v>
      </c>
    </row>
    <row r="7" spans="1:13" x14ac:dyDescent="0.35">
      <c r="F7" s="34"/>
    </row>
    <row r="8" spans="1:13" x14ac:dyDescent="0.35">
      <c r="F8" s="34"/>
    </row>
    <row r="9" spans="1:13" x14ac:dyDescent="0.35">
      <c r="F9" s="34"/>
      <c r="G9" s="34"/>
    </row>
    <row r="11" spans="1:13" ht="58" x14ac:dyDescent="0.35">
      <c r="A11" s="9" t="s">
        <v>0</v>
      </c>
      <c r="B11" s="10" t="s">
        <v>15</v>
      </c>
      <c r="C11" s="10"/>
      <c r="D11" s="10" t="s">
        <v>16</v>
      </c>
      <c r="E11" s="10" t="s">
        <v>75</v>
      </c>
      <c r="F11" s="10" t="s">
        <v>76</v>
      </c>
      <c r="G11" s="10" t="s">
        <v>17</v>
      </c>
      <c r="H11" s="10" t="s">
        <v>77</v>
      </c>
      <c r="I11" s="61"/>
    </row>
    <row r="12" spans="1:13" x14ac:dyDescent="0.35">
      <c r="A12" s="11" t="s">
        <v>1</v>
      </c>
      <c r="B12" s="11">
        <v>0.3</v>
      </c>
      <c r="C12" s="11"/>
      <c r="D12" s="12">
        <v>0</v>
      </c>
      <c r="E12" s="62">
        <f>B12*1.5</f>
        <v>0.44999999999999996</v>
      </c>
      <c r="F12" s="62">
        <f>D12*300/1000000</f>
        <v>0</v>
      </c>
      <c r="G12" s="67">
        <f>F12+E12</f>
        <v>0.44999999999999996</v>
      </c>
      <c r="H12" s="62">
        <v>0.48</v>
      </c>
    </row>
    <row r="13" spans="1:13" x14ac:dyDescent="0.35">
      <c r="A13" s="11" t="s">
        <v>2</v>
      </c>
      <c r="B13" s="11">
        <v>1</v>
      </c>
      <c r="C13" s="11"/>
      <c r="D13" s="12">
        <v>3500</v>
      </c>
      <c r="E13" s="62">
        <f t="shared" ref="E13:E16" si="7">B13*1.5</f>
        <v>1.5</v>
      </c>
      <c r="F13" s="62">
        <f t="shared" ref="F13:F16" si="8">D13*300/1000000</f>
        <v>1.05</v>
      </c>
      <c r="G13" s="67">
        <f t="shared" ref="G13:G16" si="9">F13+E13</f>
        <v>2.5499999999999998</v>
      </c>
      <c r="H13" s="62">
        <v>3</v>
      </c>
    </row>
    <row r="14" spans="1:13" x14ac:dyDescent="0.35">
      <c r="A14" s="11" t="s">
        <v>3</v>
      </c>
      <c r="B14" s="11">
        <v>1.5</v>
      </c>
      <c r="C14" s="11"/>
      <c r="D14" s="12">
        <v>120</v>
      </c>
      <c r="E14" s="62">
        <f t="shared" si="7"/>
        <v>2.25</v>
      </c>
      <c r="F14" s="62">
        <f t="shared" si="8"/>
        <v>3.5999999999999997E-2</v>
      </c>
      <c r="G14" s="67">
        <f t="shared" si="9"/>
        <v>2.286</v>
      </c>
      <c r="H14" s="62">
        <v>3</v>
      </c>
    </row>
    <row r="15" spans="1:13" x14ac:dyDescent="0.35">
      <c r="A15" s="11" t="s">
        <v>4</v>
      </c>
      <c r="B15" s="11">
        <v>1</v>
      </c>
      <c r="C15" s="11"/>
      <c r="D15" s="12">
        <v>0</v>
      </c>
      <c r="E15" s="62">
        <f t="shared" si="7"/>
        <v>1.5</v>
      </c>
      <c r="F15" s="62">
        <f t="shared" si="8"/>
        <v>0</v>
      </c>
      <c r="G15" s="67">
        <f t="shared" si="9"/>
        <v>1.5</v>
      </c>
      <c r="H15" s="62">
        <v>1.59</v>
      </c>
    </row>
    <row r="16" spans="1:13" x14ac:dyDescent="0.35">
      <c r="A16" s="11" t="s">
        <v>5</v>
      </c>
      <c r="B16" s="11">
        <v>1</v>
      </c>
      <c r="C16" s="11"/>
      <c r="D16" s="12">
        <v>270</v>
      </c>
      <c r="E16" s="62">
        <f t="shared" si="7"/>
        <v>1.5</v>
      </c>
      <c r="F16" s="62">
        <f t="shared" si="8"/>
        <v>8.1000000000000003E-2</v>
      </c>
      <c r="G16" s="67">
        <f t="shared" si="9"/>
        <v>1.581</v>
      </c>
      <c r="H16" s="62">
        <v>2.5</v>
      </c>
    </row>
    <row r="17" spans="1:17" s="65" customFormat="1" x14ac:dyDescent="0.35">
      <c r="A17" s="63" t="s">
        <v>18</v>
      </c>
      <c r="B17" s="63">
        <f>SUM(B12:B16)</f>
        <v>4.8</v>
      </c>
      <c r="C17" s="63"/>
      <c r="D17" s="64">
        <f>SUM(D12:D16)</f>
        <v>3890</v>
      </c>
      <c r="E17" s="66">
        <f>SUM(E12:E16)</f>
        <v>7.2</v>
      </c>
      <c r="F17" s="66">
        <f>SUM(F12:F16)</f>
        <v>1.167</v>
      </c>
      <c r="G17" s="66">
        <f>SUM(G12:G16)</f>
        <v>8.3669999999999991</v>
      </c>
      <c r="H17" s="66">
        <f>SUM(H12:H16)</f>
        <v>10.57</v>
      </c>
    </row>
    <row r="19" spans="1:17" ht="25" customHeight="1" x14ac:dyDescent="0.35">
      <c r="B19" s="97" t="s">
        <v>19</v>
      </c>
      <c r="C19" s="98"/>
    </row>
    <row r="20" spans="1:17" x14ac:dyDescent="0.35">
      <c r="B20" s="19" t="s">
        <v>20</v>
      </c>
      <c r="C20" s="20">
        <v>3.6</v>
      </c>
    </row>
    <row r="21" spans="1:17" ht="43.5" x14ac:dyDescent="0.35">
      <c r="B21" s="19" t="s">
        <v>21</v>
      </c>
      <c r="C21" s="21">
        <v>0.54963053796718997</v>
      </c>
      <c r="H21" s="2" t="s">
        <v>0</v>
      </c>
      <c r="I21" s="3" t="s">
        <v>8</v>
      </c>
      <c r="J21" s="3" t="s">
        <v>83</v>
      </c>
      <c r="K21" s="3" t="s">
        <v>84</v>
      </c>
      <c r="L21" s="3" t="s">
        <v>85</v>
      </c>
      <c r="M21" s="3" t="s">
        <v>86</v>
      </c>
      <c r="N21" s="3" t="s">
        <v>87</v>
      </c>
      <c r="O21" s="3" t="s">
        <v>88</v>
      </c>
      <c r="P21" s="3" t="s">
        <v>89</v>
      </c>
      <c r="Q21" s="3" t="s">
        <v>90</v>
      </c>
    </row>
    <row r="22" spans="1:17" ht="37.5" x14ac:dyDescent="0.35">
      <c r="B22" s="19" t="s">
        <v>105</v>
      </c>
      <c r="C22" s="22">
        <v>21</v>
      </c>
      <c r="H22" s="1" t="s">
        <v>2</v>
      </c>
      <c r="I22" s="13">
        <v>3500</v>
      </c>
      <c r="J22" s="1">
        <v>0</v>
      </c>
      <c r="K22" s="13">
        <f>(J3+M3)/2</f>
        <v>3030.7520113597216</v>
      </c>
      <c r="L22" s="68">
        <f>J3+M3</f>
        <v>6061.5040227194431</v>
      </c>
      <c r="M22" s="13">
        <f>L22</f>
        <v>6061.5040227194431</v>
      </c>
      <c r="N22" s="13">
        <f t="shared" ref="N22:P22" si="10">M22</f>
        <v>6061.5040227194431</v>
      </c>
      <c r="O22" s="13">
        <f t="shared" si="10"/>
        <v>6061.5040227194431</v>
      </c>
      <c r="P22" s="68">
        <f t="shared" si="10"/>
        <v>6061.5040227194431</v>
      </c>
      <c r="Q22" s="68">
        <f>P22*8</f>
        <v>48492.032181755545</v>
      </c>
    </row>
    <row r="23" spans="1:17" x14ac:dyDescent="0.35">
      <c r="B23" s="23" t="s">
        <v>22</v>
      </c>
      <c r="C23" s="24">
        <v>0.3</v>
      </c>
      <c r="H23" s="1" t="s">
        <v>3</v>
      </c>
      <c r="I23" s="13">
        <v>120</v>
      </c>
      <c r="J23" s="1">
        <v>0</v>
      </c>
      <c r="K23" s="13">
        <f t="shared" ref="K23:K24" si="11">(J4+M4)/2</f>
        <v>103.91149753233331</v>
      </c>
      <c r="L23" s="68">
        <f t="shared" ref="L23:L24" si="12">J4+M4</f>
        <v>207.82299506466663</v>
      </c>
      <c r="M23" s="13">
        <f t="shared" ref="M23:P24" si="13">L23</f>
        <v>207.82299506466663</v>
      </c>
      <c r="N23" s="13">
        <f t="shared" si="13"/>
        <v>207.82299506466663</v>
      </c>
      <c r="O23" s="13">
        <f t="shared" si="13"/>
        <v>207.82299506466663</v>
      </c>
      <c r="P23" s="68">
        <f t="shared" si="13"/>
        <v>207.82299506466663</v>
      </c>
      <c r="Q23" s="68">
        <f t="shared" ref="Q23:Q24" si="14">P23*8</f>
        <v>1662.583960517333</v>
      </c>
    </row>
    <row r="24" spans="1:17" ht="26" x14ac:dyDescent="0.35">
      <c r="B24" s="101" t="s">
        <v>23</v>
      </c>
      <c r="C24" s="102">
        <v>0.9</v>
      </c>
      <c r="H24" s="1" t="s">
        <v>5</v>
      </c>
      <c r="I24" s="13">
        <v>270</v>
      </c>
      <c r="J24" s="1">
        <v>0</v>
      </c>
      <c r="K24" s="13">
        <f t="shared" si="11"/>
        <v>233.80086944774996</v>
      </c>
      <c r="L24" s="68">
        <f t="shared" si="12"/>
        <v>467.60173889549992</v>
      </c>
      <c r="M24" s="13">
        <f t="shared" si="13"/>
        <v>467.60173889549992</v>
      </c>
      <c r="N24" s="13">
        <f t="shared" si="13"/>
        <v>467.60173889549992</v>
      </c>
      <c r="O24" s="13">
        <f t="shared" si="13"/>
        <v>467.60173889549992</v>
      </c>
      <c r="P24" s="68">
        <f t="shared" si="13"/>
        <v>467.60173889549992</v>
      </c>
      <c r="Q24" s="68">
        <f t="shared" si="14"/>
        <v>3740.8139111639994</v>
      </c>
    </row>
    <row r="25" spans="1:17" ht="29" x14ac:dyDescent="0.35">
      <c r="B25" s="8" t="s">
        <v>24</v>
      </c>
      <c r="C25" s="17">
        <f>C6</f>
        <v>567940</v>
      </c>
      <c r="H25" s="72" t="s">
        <v>91</v>
      </c>
      <c r="I25" s="73">
        <f>SUM(I22:I24)</f>
        <v>3890</v>
      </c>
      <c r="J25" s="74"/>
      <c r="K25" s="75">
        <f>SUM(K22:K24)</f>
        <v>3368.4643783398046</v>
      </c>
      <c r="L25" s="75">
        <f t="shared" ref="L25:Q25" si="15">SUM(L22:L24)</f>
        <v>6736.9287566796093</v>
      </c>
      <c r="M25" s="75">
        <f t="shared" si="15"/>
        <v>6736.9287566796093</v>
      </c>
      <c r="N25" s="75">
        <f t="shared" si="15"/>
        <v>6736.9287566796093</v>
      </c>
      <c r="O25" s="75">
        <f t="shared" si="15"/>
        <v>6736.9287566796093</v>
      </c>
      <c r="P25" s="75">
        <f t="shared" si="15"/>
        <v>6736.9287566796093</v>
      </c>
      <c r="Q25" s="75">
        <f t="shared" si="15"/>
        <v>53895.430053436874</v>
      </c>
    </row>
    <row r="26" spans="1:17" ht="29" x14ac:dyDescent="0.35">
      <c r="B26" s="8" t="s">
        <v>25</v>
      </c>
      <c r="C26" s="13">
        <f>C25*C22*C23/C20</f>
        <v>993895</v>
      </c>
      <c r="H26" s="72" t="s">
        <v>92</v>
      </c>
      <c r="I26" s="74"/>
      <c r="J26" s="74"/>
      <c r="K26" s="75">
        <f>K25</f>
        <v>3368.4643783398046</v>
      </c>
      <c r="L26" s="75">
        <f>K26+L25</f>
        <v>10105.393135019414</v>
      </c>
      <c r="M26" s="75">
        <f t="shared" ref="M26:Q26" si="16">L26+M25</f>
        <v>16842.321891699023</v>
      </c>
      <c r="N26" s="75">
        <f t="shared" si="16"/>
        <v>23579.250648378631</v>
      </c>
      <c r="O26" s="75">
        <f t="shared" si="16"/>
        <v>30316.179405058239</v>
      </c>
      <c r="P26" s="75">
        <f t="shared" si="16"/>
        <v>37053.108161737851</v>
      </c>
      <c r="Q26" s="75">
        <f t="shared" si="16"/>
        <v>90948.538215174718</v>
      </c>
    </row>
    <row r="27" spans="1:17" ht="50" x14ac:dyDescent="0.35">
      <c r="B27" s="8" t="s">
        <v>12</v>
      </c>
      <c r="C27" s="13">
        <f>C26*C21</f>
        <v>546275.04353290028</v>
      </c>
    </row>
    <row r="28" spans="1:17" ht="26" x14ac:dyDescent="0.35">
      <c r="B28" s="18" t="s">
        <v>26</v>
      </c>
      <c r="C28" s="14">
        <f>C27/(365*12)</f>
        <v>124.72032957372153</v>
      </c>
    </row>
    <row r="29" spans="1:17" ht="26" x14ac:dyDescent="0.35">
      <c r="B29" s="18" t="s">
        <v>27</v>
      </c>
      <c r="C29" s="14">
        <f>C27*C24/1000</f>
        <v>491.64753917961025</v>
      </c>
    </row>
  </sheetData>
  <mergeCells count="1">
    <mergeCell ref="B19:C19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DDC9-97BD-417A-BA12-61ABD42DC768}">
  <dimension ref="A2:J50"/>
  <sheetViews>
    <sheetView zoomScaleNormal="100" workbookViewId="0">
      <selection activeCell="D47" sqref="D47:I50"/>
    </sheetView>
  </sheetViews>
  <sheetFormatPr defaultRowHeight="14.5" x14ac:dyDescent="0.35"/>
  <cols>
    <col min="1" max="1" width="19.54296875" customWidth="1"/>
    <col min="2" max="2" width="16.81640625" bestFit="1" customWidth="1"/>
    <col min="3" max="3" width="23.54296875" customWidth="1"/>
    <col min="4" max="4" width="21.90625" customWidth="1"/>
    <col min="5" max="5" width="21.36328125" customWidth="1"/>
    <col min="6" max="6" width="22.36328125" customWidth="1"/>
    <col min="7" max="7" width="22.7265625" customWidth="1"/>
    <col min="8" max="9" width="22.1796875" customWidth="1"/>
    <col min="10" max="10" width="22.90625" customWidth="1"/>
    <col min="11" max="11" width="9.81640625" customWidth="1"/>
    <col min="12" max="12" width="11.81640625" customWidth="1"/>
    <col min="13" max="15" width="13.81640625" bestFit="1" customWidth="1"/>
    <col min="17" max="17" width="15.1796875" bestFit="1" customWidth="1"/>
  </cols>
  <sheetData>
    <row r="2" spans="1:10" x14ac:dyDescent="0.35">
      <c r="A2" s="99" t="s">
        <v>29</v>
      </c>
      <c r="B2" s="100"/>
      <c r="C2" s="100"/>
    </row>
    <row r="3" spans="1:10" ht="43.5" x14ac:dyDescent="0.35">
      <c r="A3" s="2" t="s">
        <v>0</v>
      </c>
      <c r="B3" s="113" t="s">
        <v>38</v>
      </c>
      <c r="C3" s="108" t="s">
        <v>28</v>
      </c>
      <c r="D3" s="116" t="s">
        <v>30</v>
      </c>
      <c r="E3" s="110" t="s">
        <v>31</v>
      </c>
      <c r="F3" s="103"/>
      <c r="G3" s="103"/>
    </row>
    <row r="4" spans="1:10" x14ac:dyDescent="0.35">
      <c r="A4" s="1" t="s">
        <v>1</v>
      </c>
      <c r="B4" s="114">
        <v>2000</v>
      </c>
      <c r="C4" s="108">
        <v>25000</v>
      </c>
      <c r="D4" s="114">
        <v>76334</v>
      </c>
      <c r="E4" s="108">
        <f>915104+3462097</f>
        <v>4377201</v>
      </c>
      <c r="F4" s="104">
        <f>D4+E4</f>
        <v>4453535</v>
      </c>
      <c r="G4" s="105"/>
      <c r="H4" s="34"/>
    </row>
    <row r="5" spans="1:10" x14ac:dyDescent="0.35">
      <c r="A5" s="1" t="s">
        <v>2</v>
      </c>
      <c r="B5" s="114">
        <v>60000</v>
      </c>
      <c r="C5" s="108">
        <v>800</v>
      </c>
      <c r="D5" s="114">
        <v>5087469</v>
      </c>
      <c r="E5" s="108">
        <f>103928+152010</f>
        <v>255938</v>
      </c>
      <c r="F5" s="104">
        <f t="shared" ref="F5:F8" si="0">D5+E5</f>
        <v>5343407</v>
      </c>
      <c r="G5" s="105"/>
      <c r="H5" s="34"/>
    </row>
    <row r="6" spans="1:10" x14ac:dyDescent="0.35">
      <c r="A6" s="1" t="s">
        <v>3</v>
      </c>
      <c r="B6" s="114">
        <v>20000</v>
      </c>
      <c r="C6" s="108">
        <v>4000</v>
      </c>
      <c r="D6" s="114">
        <v>1695823</v>
      </c>
      <c r="E6" s="108">
        <f>519640+760050</f>
        <v>1279690</v>
      </c>
      <c r="F6" s="104">
        <f t="shared" si="0"/>
        <v>2975513</v>
      </c>
      <c r="G6" s="105"/>
      <c r="H6" s="34"/>
    </row>
    <row r="7" spans="1:10" x14ac:dyDescent="0.35">
      <c r="A7" s="1" t="s">
        <v>4</v>
      </c>
      <c r="B7" s="114">
        <v>7000</v>
      </c>
      <c r="C7" s="108"/>
      <c r="D7" s="114">
        <v>267168</v>
      </c>
      <c r="E7" s="108"/>
      <c r="F7" s="104">
        <f t="shared" si="0"/>
        <v>267168</v>
      </c>
      <c r="G7" s="105"/>
      <c r="H7" s="34"/>
    </row>
    <row r="8" spans="1:10" x14ac:dyDescent="0.35">
      <c r="A8" s="1" t="s">
        <v>5</v>
      </c>
      <c r="B8" s="114">
        <v>13000</v>
      </c>
      <c r="C8" s="108"/>
      <c r="D8" s="114">
        <v>883331</v>
      </c>
      <c r="E8" s="108"/>
      <c r="F8" s="104">
        <f t="shared" si="0"/>
        <v>883331</v>
      </c>
      <c r="G8" s="105"/>
      <c r="H8" s="34"/>
    </row>
    <row r="9" spans="1:10" x14ac:dyDescent="0.35">
      <c r="A9" s="32" t="s">
        <v>14</v>
      </c>
      <c r="B9" s="115">
        <f>SUM(B4:B8)</f>
        <v>102000</v>
      </c>
      <c r="C9" s="109">
        <f>SUM(C4:C8)</f>
        <v>29800</v>
      </c>
      <c r="D9" s="117">
        <f>SUM(D4:D8)</f>
        <v>8010125</v>
      </c>
      <c r="E9" s="111">
        <f>SUM(E4:E8)</f>
        <v>5912829</v>
      </c>
      <c r="F9" s="104"/>
      <c r="G9" s="104"/>
      <c r="H9" s="34"/>
    </row>
    <row r="10" spans="1:10" x14ac:dyDescent="0.35">
      <c r="B10" s="76">
        <v>100000</v>
      </c>
      <c r="D10" s="34">
        <f>D9+E9</f>
        <v>13922954</v>
      </c>
    </row>
    <row r="12" spans="1:10" ht="29" x14ac:dyDescent="0.35">
      <c r="A12" s="2" t="s">
        <v>0</v>
      </c>
      <c r="B12" s="3" t="s">
        <v>111</v>
      </c>
      <c r="C12" s="3" t="s">
        <v>112</v>
      </c>
      <c r="D12" s="3" t="s">
        <v>113</v>
      </c>
      <c r="E12" s="3" t="s">
        <v>114</v>
      </c>
      <c r="F12" s="3" t="s">
        <v>115</v>
      </c>
      <c r="G12" s="3" t="s">
        <v>116</v>
      </c>
      <c r="H12" s="3" t="s">
        <v>117</v>
      </c>
      <c r="I12" s="3" t="s">
        <v>118</v>
      </c>
      <c r="J12" s="106" t="s">
        <v>18</v>
      </c>
    </row>
    <row r="13" spans="1:10" x14ac:dyDescent="0.35">
      <c r="A13" s="1" t="s">
        <v>1</v>
      </c>
      <c r="B13" s="6">
        <v>25892.639999999999</v>
      </c>
      <c r="C13" s="6">
        <v>51785.29</v>
      </c>
      <c r="D13" s="6">
        <v>77677.929999999993</v>
      </c>
      <c r="E13" s="120">
        <v>103570.58</v>
      </c>
      <c r="F13" s="6">
        <v>129463.22</v>
      </c>
      <c r="G13" s="6">
        <v>155355.87</v>
      </c>
      <c r="H13" s="6">
        <v>181248.51</v>
      </c>
      <c r="I13" s="6">
        <v>207141.16</v>
      </c>
      <c r="J13" s="33">
        <f>(I13*18)+(SUM(B13:H13))</f>
        <v>4453534.92</v>
      </c>
    </row>
    <row r="14" spans="1:10" x14ac:dyDescent="0.35">
      <c r="A14" s="1" t="s">
        <v>2</v>
      </c>
      <c r="B14" s="6">
        <v>31066.32</v>
      </c>
      <c r="C14" s="6">
        <v>62132.63</v>
      </c>
      <c r="D14" s="6">
        <v>93198.95</v>
      </c>
      <c r="E14" s="120">
        <v>124265.27</v>
      </c>
      <c r="F14" s="6">
        <v>155331.57999999999</v>
      </c>
      <c r="G14" s="6">
        <v>186397.9</v>
      </c>
      <c r="H14" s="6">
        <v>217464.21</v>
      </c>
      <c r="I14" s="6">
        <v>248530.53</v>
      </c>
      <c r="J14" s="33">
        <f t="shared" ref="J14:J17" si="1">(I14*18)+(SUM(B14:H14))</f>
        <v>5343406.4000000004</v>
      </c>
    </row>
    <row r="15" spans="1:10" x14ac:dyDescent="0.35">
      <c r="A15" s="1" t="s">
        <v>3</v>
      </c>
      <c r="B15" s="6">
        <v>17299.490000000002</v>
      </c>
      <c r="C15" s="6">
        <v>34598.980000000003</v>
      </c>
      <c r="D15" s="6">
        <v>51898.47</v>
      </c>
      <c r="E15" s="120">
        <v>69197.960000000006</v>
      </c>
      <c r="F15" s="6">
        <v>86497.45</v>
      </c>
      <c r="G15" s="6">
        <v>103796.93</v>
      </c>
      <c r="H15" s="6">
        <v>121096.42</v>
      </c>
      <c r="I15" s="6">
        <v>138396</v>
      </c>
      <c r="J15" s="33">
        <f>(I15*18)+(SUM(B15:H15))</f>
        <v>2975513.7</v>
      </c>
    </row>
    <row r="16" spans="1:10" x14ac:dyDescent="0.35">
      <c r="A16" s="1" t="s">
        <v>4</v>
      </c>
      <c r="B16" s="6">
        <f>1553.3</f>
        <v>1553.3</v>
      </c>
      <c r="C16" s="6">
        <v>3106.6</v>
      </c>
      <c r="D16" s="6">
        <v>4659.91</v>
      </c>
      <c r="E16" s="120">
        <v>6213.21</v>
      </c>
      <c r="F16" s="6">
        <v>7766.51</v>
      </c>
      <c r="G16" s="6">
        <v>9319.81</v>
      </c>
      <c r="H16" s="6">
        <v>10873.12</v>
      </c>
      <c r="I16" s="6">
        <v>12426.42</v>
      </c>
      <c r="J16" s="33">
        <f t="shared" si="1"/>
        <v>267168.02</v>
      </c>
    </row>
    <row r="17" spans="1:10" x14ac:dyDescent="0.35">
      <c r="A17" s="1" t="s">
        <v>5</v>
      </c>
      <c r="B17" s="6">
        <v>5135.6499999999996</v>
      </c>
      <c r="C17" s="6">
        <v>10271.299999999999</v>
      </c>
      <c r="D17" s="6">
        <v>15406.94</v>
      </c>
      <c r="E17" s="120">
        <v>20542.59</v>
      </c>
      <c r="F17" s="6">
        <v>25678.240000000002</v>
      </c>
      <c r="G17" s="6">
        <v>30813.89</v>
      </c>
      <c r="H17" s="6">
        <v>35949.53</v>
      </c>
      <c r="I17" s="6">
        <v>41085.18</v>
      </c>
      <c r="J17" s="33">
        <f t="shared" si="1"/>
        <v>883331.38</v>
      </c>
    </row>
    <row r="18" spans="1:10" x14ac:dyDescent="0.35">
      <c r="A18" s="32" t="s">
        <v>14</v>
      </c>
      <c r="B18" s="14">
        <f>SUM(B13:B17)</f>
        <v>80947.399999999994</v>
      </c>
      <c r="C18" s="14">
        <f t="shared" ref="C18:J18" si="2">SUM(C13:C17)</f>
        <v>161894.79999999999</v>
      </c>
      <c r="D18" s="14">
        <f t="shared" si="2"/>
        <v>242842.2</v>
      </c>
      <c r="E18" s="121">
        <f t="shared" si="2"/>
        <v>323789.61000000004</v>
      </c>
      <c r="F18" s="14">
        <f t="shared" si="2"/>
        <v>404737</v>
      </c>
      <c r="G18" s="14">
        <f t="shared" si="2"/>
        <v>485684.4</v>
      </c>
      <c r="H18" s="14">
        <f t="shared" si="2"/>
        <v>566631.79</v>
      </c>
      <c r="I18" s="14">
        <f t="shared" si="2"/>
        <v>647579.29</v>
      </c>
      <c r="J18" s="33">
        <f t="shared" si="2"/>
        <v>13922954.42</v>
      </c>
    </row>
    <row r="20" spans="1:10" ht="54" customHeight="1" x14ac:dyDescent="0.35">
      <c r="A20" s="118" t="s">
        <v>0</v>
      </c>
      <c r="B20" s="113" t="s">
        <v>38</v>
      </c>
      <c r="C20" s="116" t="s">
        <v>121</v>
      </c>
      <c r="D20" s="116" t="s">
        <v>122</v>
      </c>
      <c r="E20" s="116" t="s">
        <v>123</v>
      </c>
      <c r="F20" s="116" t="s">
        <v>124</v>
      </c>
      <c r="G20" s="116" t="s">
        <v>125</v>
      </c>
      <c r="H20" s="116" t="s">
        <v>126</v>
      </c>
      <c r="I20" s="116" t="s">
        <v>127</v>
      </c>
      <c r="J20" s="132"/>
    </row>
    <row r="21" spans="1:10" x14ac:dyDescent="0.35">
      <c r="A21" s="1" t="s">
        <v>1</v>
      </c>
      <c r="B21" s="112">
        <v>2000</v>
      </c>
      <c r="C21" s="13">
        <f>($D$4/$J$13)*B13</f>
        <v>443.80224187396738</v>
      </c>
      <c r="D21" s="13">
        <f>($D$4/$J$13)*C13</f>
        <v>887.6046551488588</v>
      </c>
      <c r="E21" s="122">
        <f>($D$4/$J$13)*D13</f>
        <v>1331.4068970228261</v>
      </c>
      <c r="F21" s="13">
        <f>($D$4/$J$13)*E13</f>
        <v>1775.2093102977176</v>
      </c>
      <c r="G21" s="13">
        <f>($D$4/$J$13)*F13</f>
        <v>2219.0115521716848</v>
      </c>
      <c r="H21" s="13">
        <f>($D$4/$J$13)*G13</f>
        <v>2662.8139654465763</v>
      </c>
      <c r="I21" s="122">
        <f>($D$4/$J$13)*H13</f>
        <v>3106.6162073205437</v>
      </c>
      <c r="J21" s="133"/>
    </row>
    <row r="22" spans="1:10" x14ac:dyDescent="0.35">
      <c r="A22" s="1" t="s">
        <v>2</v>
      </c>
      <c r="B22" s="112">
        <v>60000</v>
      </c>
      <c r="C22" s="13">
        <f>($D$5/$J$14)*B14</f>
        <v>29578.31168224075</v>
      </c>
      <c r="D22" s="13">
        <f>($D$5/$J$14)*C14</f>
        <v>59156.613843459476</v>
      </c>
      <c r="E22" s="122">
        <f>($D$5/$J$14)*D14</f>
        <v>88734.925525700222</v>
      </c>
      <c r="F22" s="13">
        <f>($D$5/$J$14)*E14</f>
        <v>118313.23720794098</v>
      </c>
      <c r="G22" s="13">
        <f>($D$5/$J$14)*F14</f>
        <v>147891.5393691597</v>
      </c>
      <c r="H22" s="13">
        <f>($D$5/$J$14)*G14</f>
        <v>177469.85105140044</v>
      </c>
      <c r="I22" s="122">
        <f>($D$5/$J$14)*H14</f>
        <v>207048.15321261919</v>
      </c>
      <c r="J22" s="133"/>
    </row>
    <row r="23" spans="1:10" x14ac:dyDescent="0.35">
      <c r="A23" s="1" t="s">
        <v>3</v>
      </c>
      <c r="B23" s="112">
        <v>20000</v>
      </c>
      <c r="C23" s="13">
        <f>($D$6/$J$15)*B15</f>
        <v>9859.4313413075542</v>
      </c>
      <c r="D23" s="13">
        <f>($D$6/$J$15)*C15</f>
        <v>19718.862682615108</v>
      </c>
      <c r="E23" s="122">
        <f>($D$6/$J$15)*D15</f>
        <v>29578.294023922659</v>
      </c>
      <c r="F23" s="13">
        <f>($D$6/$J$15)*E15</f>
        <v>39437.725365230217</v>
      </c>
      <c r="G23" s="13">
        <f>($D$6/$J$15)*F15</f>
        <v>49297.156706537768</v>
      </c>
      <c r="H23" s="13">
        <f>($D$6/$J$15)*G15</f>
        <v>59156.582348584045</v>
      </c>
      <c r="I23" s="122">
        <f>($D$6/$J$15)*H15</f>
        <v>69016.013689891595</v>
      </c>
      <c r="J23" s="133"/>
    </row>
    <row r="24" spans="1:10" x14ac:dyDescent="0.35">
      <c r="A24" s="1" t="s">
        <v>4</v>
      </c>
      <c r="B24" s="112">
        <v>7000</v>
      </c>
      <c r="C24" s="13">
        <f>B16</f>
        <v>1553.3</v>
      </c>
      <c r="D24" s="13">
        <f t="shared" ref="D24:I24" si="3">C16</f>
        <v>3106.6</v>
      </c>
      <c r="E24" s="122">
        <f t="shared" si="3"/>
        <v>4659.91</v>
      </c>
      <c r="F24" s="13">
        <f t="shared" si="3"/>
        <v>6213.21</v>
      </c>
      <c r="G24" s="13">
        <f t="shared" si="3"/>
        <v>7766.51</v>
      </c>
      <c r="H24" s="13">
        <f t="shared" si="3"/>
        <v>9319.81</v>
      </c>
      <c r="I24" s="122">
        <f t="shared" si="3"/>
        <v>10873.12</v>
      </c>
      <c r="J24" s="133"/>
    </row>
    <row r="25" spans="1:10" x14ac:dyDescent="0.35">
      <c r="A25" s="1" t="s">
        <v>5</v>
      </c>
      <c r="B25" s="112">
        <v>13000</v>
      </c>
      <c r="C25" s="13">
        <f>B17</f>
        <v>5135.6499999999996</v>
      </c>
      <c r="D25" s="13">
        <f t="shared" ref="D25:I25" si="4">C17</f>
        <v>10271.299999999999</v>
      </c>
      <c r="E25" s="122">
        <f t="shared" si="4"/>
        <v>15406.94</v>
      </c>
      <c r="F25" s="13">
        <f t="shared" si="4"/>
        <v>20542.59</v>
      </c>
      <c r="G25" s="13">
        <f t="shared" si="4"/>
        <v>25678.240000000002</v>
      </c>
      <c r="H25" s="13">
        <f t="shared" si="4"/>
        <v>30813.89</v>
      </c>
      <c r="I25" s="122">
        <f t="shared" si="4"/>
        <v>35949.53</v>
      </c>
      <c r="J25" s="133"/>
    </row>
    <row r="26" spans="1:10" x14ac:dyDescent="0.35">
      <c r="A26" s="71" t="s">
        <v>14</v>
      </c>
      <c r="B26" s="107">
        <f>SUM(B21:B25)</f>
        <v>102000</v>
      </c>
      <c r="C26" s="14">
        <f t="shared" ref="C26:I26" si="5">SUM(C21:C25)</f>
        <v>46570.49526542228</v>
      </c>
      <c r="D26" s="14">
        <f t="shared" si="5"/>
        <v>93140.981181223455</v>
      </c>
      <c r="E26" s="121">
        <f t="shared" si="5"/>
        <v>139711.47644664571</v>
      </c>
      <c r="F26" s="14">
        <f t="shared" si="5"/>
        <v>186281.97188346891</v>
      </c>
      <c r="G26" s="14">
        <f t="shared" si="5"/>
        <v>232852.45762786915</v>
      </c>
      <c r="H26" s="14">
        <f t="shared" si="5"/>
        <v>279422.94736543106</v>
      </c>
      <c r="I26" s="121">
        <f t="shared" si="5"/>
        <v>325993.4331098313</v>
      </c>
      <c r="J26" s="127"/>
    </row>
    <row r="27" spans="1:10" x14ac:dyDescent="0.35">
      <c r="A27" s="125"/>
      <c r="B27" s="126"/>
      <c r="C27" s="127"/>
      <c r="D27" s="127"/>
      <c r="E27" s="127"/>
      <c r="F27" s="127"/>
      <c r="G27" s="127"/>
      <c r="H27" s="127"/>
      <c r="I27" s="127"/>
      <c r="J27" s="127"/>
    </row>
    <row r="28" spans="1:10" ht="58" x14ac:dyDescent="0.35">
      <c r="A28" s="118" t="s">
        <v>0</v>
      </c>
      <c r="B28" s="113" t="s">
        <v>38</v>
      </c>
      <c r="C28" s="116" t="s">
        <v>128</v>
      </c>
      <c r="D28" s="116" t="s">
        <v>129</v>
      </c>
      <c r="E28" s="116" t="s">
        <v>130</v>
      </c>
      <c r="F28" s="116" t="s">
        <v>131</v>
      </c>
      <c r="G28" s="116" t="s">
        <v>132</v>
      </c>
      <c r="H28" s="116" t="s">
        <v>133</v>
      </c>
      <c r="I28" s="116" t="s">
        <v>134</v>
      </c>
      <c r="J28" s="116" t="s">
        <v>119</v>
      </c>
    </row>
    <row r="29" spans="1:10" x14ac:dyDescent="0.35">
      <c r="A29" s="1" t="s">
        <v>1</v>
      </c>
      <c r="B29" s="112">
        <v>2000</v>
      </c>
      <c r="C29" s="128">
        <f>C21</f>
        <v>443.80224187396738</v>
      </c>
      <c r="D29" s="128">
        <f>D21+C29</f>
        <v>1331.4068970228261</v>
      </c>
      <c r="E29" s="129">
        <f t="shared" ref="E29:I29" si="6">E21+D29</f>
        <v>2662.8137940456522</v>
      </c>
      <c r="F29" s="128">
        <f t="shared" si="6"/>
        <v>4438.0231043433696</v>
      </c>
      <c r="G29" s="128">
        <f t="shared" si="6"/>
        <v>6657.0346565150539</v>
      </c>
      <c r="H29" s="128">
        <f t="shared" si="6"/>
        <v>9319.8486219616298</v>
      </c>
      <c r="I29" s="129">
        <f t="shared" si="6"/>
        <v>12426.464829282173</v>
      </c>
      <c r="J29" s="122">
        <f>D4</f>
        <v>76334</v>
      </c>
    </row>
    <row r="30" spans="1:10" x14ac:dyDescent="0.35">
      <c r="A30" s="1" t="s">
        <v>2</v>
      </c>
      <c r="B30" s="112">
        <v>60000</v>
      </c>
      <c r="C30" s="128">
        <f>C22</f>
        <v>29578.31168224075</v>
      </c>
      <c r="D30" s="128">
        <f>D22+C30</f>
        <v>88734.925525700222</v>
      </c>
      <c r="E30" s="129">
        <f t="shared" ref="E30:I30" si="7">E22+D30</f>
        <v>177469.85105140044</v>
      </c>
      <c r="F30" s="128">
        <f t="shared" si="7"/>
        <v>295783.08825934143</v>
      </c>
      <c r="G30" s="128">
        <f t="shared" si="7"/>
        <v>443674.62762850116</v>
      </c>
      <c r="H30" s="128">
        <f t="shared" si="7"/>
        <v>621144.47867990157</v>
      </c>
      <c r="I30" s="129">
        <f t="shared" si="7"/>
        <v>828192.6318925207</v>
      </c>
      <c r="J30" s="122">
        <f t="shared" ref="J30:J33" si="8">D5</f>
        <v>5087469</v>
      </c>
    </row>
    <row r="31" spans="1:10" x14ac:dyDescent="0.35">
      <c r="A31" s="1" t="s">
        <v>3</v>
      </c>
      <c r="B31" s="112">
        <v>20000</v>
      </c>
      <c r="C31" s="128">
        <f>C23</f>
        <v>9859.4313413075542</v>
      </c>
      <c r="D31" s="128">
        <f>D23+C31</f>
        <v>29578.294023922663</v>
      </c>
      <c r="E31" s="129">
        <f t="shared" ref="E31:I31" si="9">E23+D31</f>
        <v>59156.588047845318</v>
      </c>
      <c r="F31" s="128">
        <f t="shared" si="9"/>
        <v>98594.313413075535</v>
      </c>
      <c r="G31" s="128">
        <f t="shared" si="9"/>
        <v>147891.47011961331</v>
      </c>
      <c r="H31" s="128">
        <f t="shared" si="9"/>
        <v>207048.05246819736</v>
      </c>
      <c r="I31" s="129">
        <f t="shared" si="9"/>
        <v>276064.06615808897</v>
      </c>
      <c r="J31" s="122">
        <f t="shared" si="8"/>
        <v>1695823</v>
      </c>
    </row>
    <row r="32" spans="1:10" x14ac:dyDescent="0.35">
      <c r="A32" s="1" t="s">
        <v>4</v>
      </c>
      <c r="B32" s="112">
        <v>7000</v>
      </c>
      <c r="C32" s="128">
        <f>C24</f>
        <v>1553.3</v>
      </c>
      <c r="D32" s="128">
        <f>D24+C32</f>
        <v>4659.8999999999996</v>
      </c>
      <c r="E32" s="129">
        <f t="shared" ref="E32:I32" si="10">E24+D32</f>
        <v>9319.81</v>
      </c>
      <c r="F32" s="128">
        <f t="shared" si="10"/>
        <v>15533.02</v>
      </c>
      <c r="G32" s="128">
        <f t="shared" si="10"/>
        <v>23299.53</v>
      </c>
      <c r="H32" s="128">
        <f t="shared" si="10"/>
        <v>32619.339999999997</v>
      </c>
      <c r="I32" s="129">
        <f t="shared" si="10"/>
        <v>43492.46</v>
      </c>
      <c r="J32" s="122">
        <f t="shared" si="8"/>
        <v>267168</v>
      </c>
    </row>
    <row r="33" spans="1:10" x14ac:dyDescent="0.35">
      <c r="A33" s="1" t="s">
        <v>5</v>
      </c>
      <c r="B33" s="112">
        <v>13000</v>
      </c>
      <c r="C33" s="128">
        <f>C25</f>
        <v>5135.6499999999996</v>
      </c>
      <c r="D33" s="128">
        <f>D25+C25</f>
        <v>15406.949999999999</v>
      </c>
      <c r="E33" s="129">
        <f t="shared" ref="E33:I33" si="11">E25+D25</f>
        <v>25678.239999999998</v>
      </c>
      <c r="F33" s="128">
        <f t="shared" si="11"/>
        <v>35949.53</v>
      </c>
      <c r="G33" s="128">
        <f t="shared" si="11"/>
        <v>46220.83</v>
      </c>
      <c r="H33" s="128">
        <f t="shared" si="11"/>
        <v>56492.130000000005</v>
      </c>
      <c r="I33" s="129">
        <f t="shared" si="11"/>
        <v>66763.42</v>
      </c>
      <c r="J33" s="122">
        <f t="shared" si="8"/>
        <v>883331</v>
      </c>
    </row>
    <row r="34" spans="1:10" x14ac:dyDescent="0.35">
      <c r="A34" s="71" t="s">
        <v>14</v>
      </c>
      <c r="B34" s="107">
        <f>SUM(B29:B33)</f>
        <v>102000</v>
      </c>
      <c r="C34" s="121">
        <f>SUM(C29:C33)</f>
        <v>46570.49526542228</v>
      </c>
      <c r="D34" s="121">
        <f t="shared" ref="D34:J34" si="12">SUM(D29:D33)</f>
        <v>139711.47644664571</v>
      </c>
      <c r="E34" s="80">
        <f t="shared" si="12"/>
        <v>274287.3028932914</v>
      </c>
      <c r="F34" s="121">
        <f t="shared" si="12"/>
        <v>450297.97477676033</v>
      </c>
      <c r="G34" s="121">
        <f t="shared" si="12"/>
        <v>667743.49240462948</v>
      </c>
      <c r="H34" s="121">
        <f t="shared" si="12"/>
        <v>926623.84977006051</v>
      </c>
      <c r="I34" s="80">
        <f t="shared" si="12"/>
        <v>1226939.0428798916</v>
      </c>
      <c r="J34" s="121">
        <f t="shared" si="12"/>
        <v>8010125</v>
      </c>
    </row>
    <row r="35" spans="1:10" x14ac:dyDescent="0.35">
      <c r="A35" s="124"/>
      <c r="B35" s="126"/>
      <c r="D35" s="127"/>
      <c r="E35" s="127"/>
      <c r="F35" s="127"/>
      <c r="G35" s="127"/>
      <c r="H35" s="127"/>
      <c r="I35" s="127"/>
      <c r="J35" s="127"/>
    </row>
    <row r="36" spans="1:10" x14ac:dyDescent="0.35">
      <c r="A36" s="124"/>
      <c r="B36" s="126"/>
      <c r="C36" s="127"/>
      <c r="D36" s="127"/>
      <c r="E36" s="127"/>
      <c r="F36" s="127"/>
      <c r="G36" s="127"/>
      <c r="H36" s="127"/>
      <c r="I36" s="127"/>
      <c r="J36" s="127"/>
    </row>
    <row r="37" spans="1:10" x14ac:dyDescent="0.35">
      <c r="A37" s="124"/>
      <c r="B37" s="126"/>
      <c r="C37" s="127"/>
      <c r="D37" s="127"/>
      <c r="E37" s="127"/>
      <c r="F37" s="127"/>
      <c r="G37" s="127"/>
      <c r="H37" s="127"/>
      <c r="I37" s="127"/>
      <c r="J37" s="127"/>
    </row>
    <row r="39" spans="1:10" ht="29" x14ac:dyDescent="0.35">
      <c r="A39" s="119" t="s">
        <v>0</v>
      </c>
      <c r="B39" s="108" t="s">
        <v>28</v>
      </c>
      <c r="C39" s="110" t="s">
        <v>121</v>
      </c>
      <c r="D39" s="110" t="s">
        <v>122</v>
      </c>
      <c r="E39" s="110" t="s">
        <v>123</v>
      </c>
      <c r="F39" s="110" t="s">
        <v>124</v>
      </c>
      <c r="G39" s="110" t="s">
        <v>125</v>
      </c>
      <c r="H39" s="110" t="s">
        <v>126</v>
      </c>
      <c r="I39" s="134" t="s">
        <v>127</v>
      </c>
      <c r="J39" s="135"/>
    </row>
    <row r="40" spans="1:10" x14ac:dyDescent="0.35">
      <c r="A40" s="1" t="s">
        <v>1</v>
      </c>
      <c r="B40" s="108">
        <v>25000</v>
      </c>
      <c r="C40" s="13">
        <f>($E$4/$J$13)*B13</f>
        <v>25448.838223242226</v>
      </c>
      <c r="D40" s="13">
        <f>($E$4/$J$13)*C13</f>
        <v>50897.68627508371</v>
      </c>
      <c r="E40" s="122">
        <f>($E$4/$J$13)*D13</f>
        <v>76346.524498325918</v>
      </c>
      <c r="F40" s="13">
        <f>($E$4/$J$13)*E13</f>
        <v>101795.37255016742</v>
      </c>
      <c r="G40" s="13">
        <f>($E$4/$J$13)*F13</f>
        <v>127244.21077340964</v>
      </c>
      <c r="H40" s="13">
        <f>($E$4/$J$13)*G13</f>
        <v>152693.05882525112</v>
      </c>
      <c r="I40" s="130">
        <f>($E$4/$J$13)*H13</f>
        <v>178141.89704849335</v>
      </c>
      <c r="J40" s="136"/>
    </row>
    <row r="41" spans="1:10" x14ac:dyDescent="0.35">
      <c r="A41" s="1" t="s">
        <v>2</v>
      </c>
      <c r="B41" s="108">
        <v>800</v>
      </c>
      <c r="C41" s="13">
        <f>($E$5/$J$14)*B14</f>
        <v>1488.0118061317587</v>
      </c>
      <c r="D41" s="13">
        <f>($E$5/$J$14)*C14</f>
        <v>2976.0231332844155</v>
      </c>
      <c r="E41" s="122">
        <f>($E$5/$J$14)*D14</f>
        <v>4464.034939416174</v>
      </c>
      <c r="F41" s="13">
        <f>($E$5/$J$14)*E14</f>
        <v>5952.0467455479329</v>
      </c>
      <c r="G41" s="13">
        <f>($E$5/$J$14)*F14</f>
        <v>7440.058072700589</v>
      </c>
      <c r="H41" s="13">
        <f>($E$5/$J$14)*G14</f>
        <v>8928.069878832348</v>
      </c>
      <c r="I41" s="130">
        <f>($E$5/$J$14)*H14</f>
        <v>10416.081205985005</v>
      </c>
      <c r="J41" s="136"/>
    </row>
    <row r="42" spans="1:10" x14ac:dyDescent="0.35">
      <c r="A42" s="1" t="s">
        <v>3</v>
      </c>
      <c r="B42" s="108">
        <v>4000</v>
      </c>
      <c r="C42" s="13">
        <f>($E$6/$J$15)*B15</f>
        <v>7440.0545889269479</v>
      </c>
      <c r="D42" s="13">
        <f>($E$6/$J$15)*C15</f>
        <v>14880.109177853896</v>
      </c>
      <c r="E42" s="122">
        <f>($E$6/$J$15)*D15</f>
        <v>22320.163766780843</v>
      </c>
      <c r="F42" s="13">
        <f>($E$6/$J$15)*E15</f>
        <v>29760.218355707791</v>
      </c>
      <c r="G42" s="13">
        <f>($E$6/$J$15)*F15</f>
        <v>37200.272944634737</v>
      </c>
      <c r="H42" s="13">
        <f>($E$6/$J$15)*G15</f>
        <v>44640.323232825307</v>
      </c>
      <c r="I42" s="130">
        <f>($E$6/$J$15)*H15</f>
        <v>52080.377821752256</v>
      </c>
      <c r="J42" s="136"/>
    </row>
    <row r="43" spans="1:10" x14ac:dyDescent="0.35">
      <c r="A43" s="71" t="s">
        <v>14</v>
      </c>
      <c r="B43" s="111">
        <f>SUM(B40:B42)</f>
        <v>29800</v>
      </c>
      <c r="C43" s="14">
        <f t="shared" ref="C43:J43" si="13">SUM(C40:C42)</f>
        <v>34376.904618300934</v>
      </c>
      <c r="D43" s="14">
        <f t="shared" si="13"/>
        <v>68753.818586222013</v>
      </c>
      <c r="E43" s="121">
        <f t="shared" si="13"/>
        <v>103130.72320452293</v>
      </c>
      <c r="F43" s="14">
        <f t="shared" si="13"/>
        <v>137507.63765142314</v>
      </c>
      <c r="G43" s="14">
        <f t="shared" si="13"/>
        <v>171884.54179074499</v>
      </c>
      <c r="H43" s="14">
        <f t="shared" si="13"/>
        <v>206261.45193690876</v>
      </c>
      <c r="I43" s="131">
        <f t="shared" si="13"/>
        <v>240638.35607623062</v>
      </c>
      <c r="J43" s="137"/>
    </row>
    <row r="46" spans="1:10" ht="43.5" x14ac:dyDescent="0.35">
      <c r="A46" s="119" t="s">
        <v>0</v>
      </c>
      <c r="B46" s="108" t="s">
        <v>28</v>
      </c>
      <c r="C46" s="110" t="s">
        <v>128</v>
      </c>
      <c r="D46" s="110" t="s">
        <v>129</v>
      </c>
      <c r="E46" s="110" t="s">
        <v>130</v>
      </c>
      <c r="F46" s="110" t="s">
        <v>131</v>
      </c>
      <c r="G46" s="110" t="s">
        <v>132</v>
      </c>
      <c r="H46" s="110" t="s">
        <v>133</v>
      </c>
      <c r="I46" s="110" t="s">
        <v>134</v>
      </c>
      <c r="J46" s="110" t="s">
        <v>120</v>
      </c>
    </row>
    <row r="47" spans="1:10" x14ac:dyDescent="0.35">
      <c r="A47" s="1" t="s">
        <v>1</v>
      </c>
      <c r="B47" s="108">
        <v>25000</v>
      </c>
      <c r="C47" s="13">
        <f>C40</f>
        <v>25448.838223242226</v>
      </c>
      <c r="D47" s="13">
        <f>D40+C47</f>
        <v>76346.524498325933</v>
      </c>
      <c r="E47" s="79">
        <f t="shared" ref="E47:I47" si="14">E40+D47</f>
        <v>152693.04899665184</v>
      </c>
      <c r="F47" s="13">
        <f t="shared" si="14"/>
        <v>254488.42154681927</v>
      </c>
      <c r="G47" s="13">
        <f t="shared" si="14"/>
        <v>381732.63232022891</v>
      </c>
      <c r="H47" s="13">
        <f t="shared" si="14"/>
        <v>534425.69114548003</v>
      </c>
      <c r="I47" s="79">
        <f t="shared" si="14"/>
        <v>712567.58819397341</v>
      </c>
      <c r="J47" s="122">
        <f>E4</f>
        <v>4377201</v>
      </c>
    </row>
    <row r="48" spans="1:10" x14ac:dyDescent="0.35">
      <c r="A48" s="1" t="s">
        <v>2</v>
      </c>
      <c r="B48" s="108">
        <v>800</v>
      </c>
      <c r="C48" s="13">
        <f>C41</f>
        <v>1488.0118061317587</v>
      </c>
      <c r="D48" s="13">
        <f>D41+C48</f>
        <v>4464.034939416174</v>
      </c>
      <c r="E48" s="79">
        <f t="shared" ref="E48:I48" si="15">E41+D48</f>
        <v>8928.069878832348</v>
      </c>
      <c r="F48" s="13">
        <f t="shared" si="15"/>
        <v>14880.11662438028</v>
      </c>
      <c r="G48" s="13">
        <f t="shared" si="15"/>
        <v>22320.174697080867</v>
      </c>
      <c r="H48" s="13">
        <f t="shared" si="15"/>
        <v>31248.244575913217</v>
      </c>
      <c r="I48" s="79">
        <f t="shared" si="15"/>
        <v>41664.325781898224</v>
      </c>
      <c r="J48" s="122">
        <f t="shared" ref="J48:J49" si="16">E5</f>
        <v>255938</v>
      </c>
    </row>
    <row r="49" spans="1:10" x14ac:dyDescent="0.35">
      <c r="A49" s="1" t="s">
        <v>3</v>
      </c>
      <c r="B49" s="108">
        <v>4000</v>
      </c>
      <c r="C49" s="13">
        <f>C42</f>
        <v>7440.0545889269479</v>
      </c>
      <c r="D49" s="13">
        <f>D42+C49</f>
        <v>22320.163766780843</v>
      </c>
      <c r="E49" s="79">
        <f t="shared" ref="E49:I49" si="17">E42</f>
        <v>22320.163766780843</v>
      </c>
      <c r="F49" s="13">
        <f t="shared" ref="F49:I49" si="18">F42+E49</f>
        <v>52080.382122488634</v>
      </c>
      <c r="G49" s="13">
        <f t="shared" ref="G49:I49" si="19">G42</f>
        <v>37200.272944634737</v>
      </c>
      <c r="H49" s="13">
        <f t="shared" ref="H49:I49" si="20">H42+G49</f>
        <v>81840.596177460044</v>
      </c>
      <c r="I49" s="79">
        <f t="shared" ref="I49" si="21">I42</f>
        <v>52080.377821752256</v>
      </c>
      <c r="J49" s="122">
        <f t="shared" si="16"/>
        <v>1279690</v>
      </c>
    </row>
    <row r="50" spans="1:10" x14ac:dyDescent="0.35">
      <c r="A50" s="71" t="s">
        <v>14</v>
      </c>
      <c r="B50" s="111">
        <f>SUM(B47:B49)</f>
        <v>29800</v>
      </c>
      <c r="C50" s="14">
        <f>SUM(C47:C49)</f>
        <v>34376.904618300934</v>
      </c>
      <c r="D50" s="14">
        <f t="shared" ref="D50:J50" si="22">SUM(D47:D49)</f>
        <v>103130.72320452295</v>
      </c>
      <c r="E50" s="80">
        <f t="shared" si="22"/>
        <v>183941.28264226503</v>
      </c>
      <c r="F50" s="14">
        <f t="shared" si="22"/>
        <v>321448.92029368819</v>
      </c>
      <c r="G50" s="14">
        <f t="shared" si="22"/>
        <v>441253.07996194449</v>
      </c>
      <c r="H50" s="14">
        <f t="shared" si="22"/>
        <v>647514.53189885325</v>
      </c>
      <c r="I50" s="80">
        <f t="shared" si="22"/>
        <v>806312.29179762385</v>
      </c>
      <c r="J50" s="121">
        <f t="shared" si="22"/>
        <v>5912829</v>
      </c>
    </row>
  </sheetData>
  <mergeCells count="1">
    <mergeCell ref="A2:C2"/>
  </mergeCells>
  <phoneticPr fontId="6" type="noConversion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8EC76F9C-1564-49FC-AD84-33ED766F75A9}"/>
</file>

<file path=customXml/itemProps2.xml><?xml version="1.0" encoding="utf-8"?>
<ds:datastoreItem xmlns:ds="http://schemas.openxmlformats.org/officeDocument/2006/customXml" ds:itemID="{1DE43B92-B8EF-4BA4-A38F-4164045401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6FED24-9661-48BE-8CAC-16D98C7BC09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BREFOL Summary GHG Emissions</vt:lpstr>
      <vt:lpstr>Solar</vt:lpstr>
      <vt:lpstr>Biodigester</vt:lpstr>
      <vt:lpstr>Rangelands rehab + Agro forestr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Shakil Beedassy</dc:creator>
  <cp:keywords/>
  <dc:description/>
  <cp:lastModifiedBy>Shakil Beedassy</cp:lastModifiedBy>
  <cp:revision/>
  <dcterms:created xsi:type="dcterms:W3CDTF">2022-07-18T09:33:39Z</dcterms:created>
  <dcterms:modified xsi:type="dcterms:W3CDTF">2024-05-21T22:09:19Z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