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uirgir\Desktop\"/>
    </mc:Choice>
  </mc:AlternateContent>
  <bookViews>
    <workbookView xWindow="0" yWindow="0" windowWidth="23040" windowHeight="9192"/>
  </bookViews>
  <sheets>
    <sheet name="All" sheetId="9" r:id="rId1"/>
    <sheet name="PT impact" sheetId="23" r:id="rId2"/>
    <sheet name="Brazil" sheetId="2" r:id="rId3"/>
    <sheet name="Bus Brazil" sheetId="19" r:id="rId4"/>
    <sheet name="Colombia" sheetId="3" r:id="rId5"/>
    <sheet name="Bus Colombia" sheetId="20" r:id="rId6"/>
    <sheet name="Mexico" sheetId="8" r:id="rId7"/>
    <sheet name="Bus Mexico" sheetId="21" r:id="rId8"/>
    <sheet name="Peru" sheetId="11" r:id="rId9"/>
    <sheet name="Bus Peru" sheetId="22" r:id="rId10"/>
    <sheet name="defaults" sheetId="13" r:id="rId11"/>
    <sheet name="Grid Factors" sheetId="10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3" l="1"/>
  <c r="R48" i="3" l="1"/>
  <c r="S48" i="3" s="1"/>
  <c r="T48" i="3" s="1"/>
  <c r="U48" i="3"/>
  <c r="B79" i="9"/>
  <c r="C79" i="9"/>
  <c r="F40" i="3"/>
  <c r="E48" i="3"/>
  <c r="F42" i="3"/>
  <c r="F41" i="3"/>
  <c r="U28" i="3"/>
  <c r="V28" i="3"/>
  <c r="M28" i="3"/>
  <c r="N28" i="3"/>
  <c r="M27" i="3"/>
  <c r="L27" i="3"/>
  <c r="T27" i="3"/>
  <c r="G34" i="11" l="1"/>
  <c r="H34" i="11" s="1"/>
  <c r="G33" i="11"/>
  <c r="H33" i="11" s="1"/>
  <c r="G32" i="11"/>
  <c r="H32" i="11" s="1"/>
  <c r="G31" i="11"/>
  <c r="H31" i="11" s="1"/>
  <c r="G36" i="8"/>
  <c r="H36" i="8" s="1"/>
  <c r="H35" i="8"/>
  <c r="G35" i="8"/>
  <c r="H34" i="8"/>
  <c r="G34" i="8"/>
  <c r="G33" i="8"/>
  <c r="H33" i="8" s="1"/>
  <c r="G42" i="2"/>
  <c r="H42" i="2" s="1"/>
  <c r="G41" i="2"/>
  <c r="H41" i="2" s="1"/>
  <c r="G40" i="2"/>
  <c r="H40" i="2" s="1"/>
  <c r="G39" i="2"/>
  <c r="H39" i="2" s="1"/>
  <c r="T39" i="11" l="1"/>
  <c r="U39" i="11" s="1"/>
  <c r="V39" i="11" s="1"/>
  <c r="W39" i="11" s="1"/>
  <c r="X39" i="11" s="1"/>
  <c r="Y39" i="11" s="1"/>
  <c r="Z39" i="11" s="1"/>
  <c r="A39" i="11"/>
  <c r="T41" i="8"/>
  <c r="U41" i="8" s="1"/>
  <c r="V41" i="8" s="1"/>
  <c r="W41" i="8" s="1"/>
  <c r="X41" i="8" s="1"/>
  <c r="Y41" i="8" s="1"/>
  <c r="Z41" i="8" s="1"/>
  <c r="A41" i="8"/>
  <c r="A48" i="3"/>
  <c r="B49" i="2"/>
  <c r="A49" i="2"/>
  <c r="A101" i="9" s="1"/>
  <c r="F41" i="9"/>
  <c r="E41" i="9"/>
  <c r="D41" i="9"/>
  <c r="F40" i="9"/>
  <c r="E40" i="9"/>
  <c r="D40" i="9"/>
  <c r="F39" i="9"/>
  <c r="E39" i="9"/>
  <c r="D39" i="9"/>
  <c r="B41" i="9"/>
  <c r="B40" i="9"/>
  <c r="B39" i="9"/>
  <c r="F33" i="9"/>
  <c r="E33" i="9"/>
  <c r="D33" i="9"/>
  <c r="F32" i="9"/>
  <c r="E32" i="9"/>
  <c r="D32" i="9"/>
  <c r="F31" i="9"/>
  <c r="E31" i="9"/>
  <c r="D31" i="9"/>
  <c r="B33" i="9"/>
  <c r="B32" i="9"/>
  <c r="B31" i="9"/>
  <c r="F15" i="9"/>
  <c r="E15" i="9"/>
  <c r="D15" i="9"/>
  <c r="C15" i="9"/>
  <c r="B15" i="9"/>
  <c r="F7" i="9"/>
  <c r="E7" i="9"/>
  <c r="D7" i="9"/>
  <c r="B7" i="9"/>
  <c r="B32" i="3"/>
  <c r="B35" i="3" s="1"/>
  <c r="B36" i="3" s="1"/>
  <c r="B31" i="2"/>
  <c r="B34" i="2" s="1"/>
  <c r="B35" i="2" s="1"/>
  <c r="G15" i="9" l="1"/>
  <c r="B86" i="9" l="1"/>
  <c r="C86" i="9" s="1"/>
  <c r="B85" i="9"/>
  <c r="C85" i="9" s="1"/>
  <c r="B84" i="9"/>
  <c r="D14" i="9"/>
  <c r="B14" i="23"/>
  <c r="B13" i="23"/>
  <c r="B12" i="23"/>
  <c r="C73" i="20"/>
  <c r="B11" i="23" s="1"/>
  <c r="B33" i="3" s="1"/>
  <c r="C72" i="20"/>
  <c r="B72" i="20"/>
  <c r="C71" i="19"/>
  <c r="B10" i="23" s="1"/>
  <c r="B32" i="2" s="1"/>
  <c r="B71" i="19"/>
  <c r="C70" i="19"/>
  <c r="B70" i="19"/>
  <c r="C84" i="9" l="1"/>
  <c r="B87" i="9"/>
  <c r="C87" i="9" s="1"/>
  <c r="B33" i="2"/>
  <c r="S49" i="2"/>
  <c r="B34" i="3"/>
  <c r="V48" i="3"/>
  <c r="W48" i="3" s="1"/>
  <c r="X48" i="3" s="1"/>
  <c r="Y48" i="3" s="1"/>
  <c r="Z48" i="3" s="1"/>
  <c r="AA48" i="3" s="1"/>
  <c r="C72" i="19"/>
  <c r="C74" i="20"/>
  <c r="S101" i="9" l="1"/>
  <c r="B55" i="9"/>
  <c r="B52" i="9"/>
  <c r="B48" i="9"/>
  <c r="B6" i="11" l="1"/>
  <c r="B11" i="11"/>
  <c r="B10" i="11" s="1"/>
  <c r="W19" i="11" s="1"/>
  <c r="B80" i="22"/>
  <c r="B79" i="22"/>
  <c r="B75" i="22"/>
  <c r="B74" i="22"/>
  <c r="C63" i="22"/>
  <c r="B31" i="22"/>
  <c r="B29" i="22"/>
  <c r="B28" i="22"/>
  <c r="B24" i="22"/>
  <c r="B22" i="22"/>
  <c r="B15" i="22"/>
  <c r="B10" i="22"/>
  <c r="B9" i="22"/>
  <c r="B7" i="22"/>
  <c r="B5" i="22"/>
  <c r="C43" i="22" s="1"/>
  <c r="C44" i="22" s="1"/>
  <c r="I34" i="11" l="1"/>
  <c r="C34" i="11"/>
  <c r="D34" i="11" s="1"/>
  <c r="E34" i="11" s="1"/>
  <c r="F34" i="11" s="1"/>
  <c r="B8" i="11"/>
  <c r="U19" i="11" s="1"/>
  <c r="B9" i="11"/>
  <c r="V19" i="11" s="1"/>
  <c r="B81" i="22"/>
  <c r="B76" i="22"/>
  <c r="B7" i="11" s="1"/>
  <c r="C48" i="22"/>
  <c r="C52" i="22" s="1"/>
  <c r="C53" i="22"/>
  <c r="I33" i="11" l="1"/>
  <c r="C33" i="11"/>
  <c r="D33" i="11" s="1"/>
  <c r="E33" i="11" s="1"/>
  <c r="F33" i="11" s="1"/>
  <c r="C32" i="11"/>
  <c r="D32" i="11" s="1"/>
  <c r="E32" i="11" s="1"/>
  <c r="F32" i="11" s="1"/>
  <c r="I32" i="11"/>
  <c r="C64" i="22"/>
  <c r="C70" i="22" s="1"/>
  <c r="C56" i="22"/>
  <c r="C68" i="22" l="1"/>
  <c r="C65" i="22"/>
  <c r="B6" i="8" l="1"/>
  <c r="I28" i="8" s="1"/>
  <c r="B11" i="3"/>
  <c r="B8" i="3" s="1"/>
  <c r="B11" i="8"/>
  <c r="B10" i="8" s="1"/>
  <c r="Z28" i="8" s="1"/>
  <c r="B75" i="21"/>
  <c r="B74" i="21"/>
  <c r="B76" i="21" s="1"/>
  <c r="B70" i="21"/>
  <c r="B69" i="21"/>
  <c r="C58" i="21"/>
  <c r="C38" i="21"/>
  <c r="C39" i="21" s="1"/>
  <c r="B24" i="21"/>
  <c r="B23" i="21"/>
  <c r="B16" i="21"/>
  <c r="B9" i="21"/>
  <c r="B7" i="21"/>
  <c r="B4" i="21"/>
  <c r="C36" i="8" l="1"/>
  <c r="D36" i="8" s="1"/>
  <c r="E36" i="8" s="1"/>
  <c r="F36" i="8" s="1"/>
  <c r="I36" i="8"/>
  <c r="B9" i="3"/>
  <c r="B8" i="8"/>
  <c r="X28" i="8" s="1"/>
  <c r="B9" i="8"/>
  <c r="Y28" i="8" s="1"/>
  <c r="B71" i="21"/>
  <c r="B7" i="8" s="1"/>
  <c r="Q28" i="8" s="1"/>
  <c r="C43" i="21"/>
  <c r="C48" i="21"/>
  <c r="C35" i="8" l="1"/>
  <c r="D35" i="8" s="1"/>
  <c r="E35" i="8" s="1"/>
  <c r="F35" i="8" s="1"/>
  <c r="I35" i="8"/>
  <c r="I34" i="8"/>
  <c r="C34" i="8"/>
  <c r="D34" i="8" s="1"/>
  <c r="E34" i="8" s="1"/>
  <c r="F34" i="8" s="1"/>
  <c r="I33" i="8"/>
  <c r="C33" i="8"/>
  <c r="B17" i="21"/>
  <c r="C47" i="21"/>
  <c r="C59" i="21"/>
  <c r="C51" i="21"/>
  <c r="D33" i="8" l="1"/>
  <c r="E33" i="8" s="1"/>
  <c r="F33" i="8" s="1"/>
  <c r="B41" i="8"/>
  <c r="C63" i="21"/>
  <c r="C64" i="21" s="1"/>
  <c r="C60" i="21"/>
  <c r="C65" i="21"/>
  <c r="C41" i="8" l="1"/>
  <c r="D41" i="8" s="1"/>
  <c r="E41" i="8" s="1"/>
  <c r="F41" i="8" s="1"/>
  <c r="G41" i="8" s="1"/>
  <c r="H41" i="8" s="1"/>
  <c r="I41" i="8" s="1"/>
  <c r="J41" i="8" s="1"/>
  <c r="K41" i="8" s="1"/>
  <c r="L41" i="8" s="1"/>
  <c r="M41" i="8" s="1"/>
  <c r="N41" i="8" s="1"/>
  <c r="O41" i="8" s="1"/>
  <c r="P41" i="8" s="1"/>
  <c r="Q41" i="8" s="1"/>
  <c r="I16" i="8"/>
  <c r="I18" i="8" s="1"/>
  <c r="B6" i="3"/>
  <c r="B78" i="20"/>
  <c r="B77" i="20"/>
  <c r="B73" i="20"/>
  <c r="C60" i="20"/>
  <c r="B25" i="20"/>
  <c r="B24" i="20"/>
  <c r="B5" i="20"/>
  <c r="C40" i="20" s="1"/>
  <c r="C41" i="20" s="1"/>
  <c r="D27" i="3"/>
  <c r="AB41" i="8" l="1"/>
  <c r="B10" i="3"/>
  <c r="Z27" i="3" s="1"/>
  <c r="X27" i="3"/>
  <c r="Y27" i="3"/>
  <c r="B79" i="20"/>
  <c r="B74" i="20"/>
  <c r="B7" i="3" s="1"/>
  <c r="C50" i="20"/>
  <c r="C45" i="20"/>
  <c r="I42" i="3" l="1"/>
  <c r="D42" i="3"/>
  <c r="E42" i="3" s="1"/>
  <c r="G42" i="3" s="1"/>
  <c r="H42" i="3" s="1"/>
  <c r="C77" i="9" s="1"/>
  <c r="I41" i="3"/>
  <c r="D41" i="3"/>
  <c r="E41" i="3" s="1"/>
  <c r="G41" i="3" s="1"/>
  <c r="H41" i="3" s="1"/>
  <c r="C76" i="9" s="1"/>
  <c r="I43" i="3"/>
  <c r="C43" i="3"/>
  <c r="D43" i="3" s="1"/>
  <c r="E43" i="3" s="1"/>
  <c r="F43" i="3" s="1"/>
  <c r="G43" i="3" s="1"/>
  <c r="H43" i="3" s="1"/>
  <c r="C78" i="9" s="1"/>
  <c r="C7" i="9"/>
  <c r="C61" i="20"/>
  <c r="C53" i="20"/>
  <c r="C67" i="20"/>
  <c r="B18" i="20"/>
  <c r="C49" i="20"/>
  <c r="C39" i="9" l="1"/>
  <c r="G39" i="9" s="1"/>
  <c r="B48" i="3"/>
  <c r="D40" i="3"/>
  <c r="E40" i="3" s="1"/>
  <c r="G40" i="3" s="1"/>
  <c r="H40" i="3" s="1"/>
  <c r="C75" i="9" s="1"/>
  <c r="C65" i="20"/>
  <c r="C66" i="20" s="1"/>
  <c r="C62" i="20"/>
  <c r="C31" i="9" l="1"/>
  <c r="G31" i="9" s="1"/>
  <c r="C48" i="3"/>
  <c r="D48" i="3" s="1"/>
  <c r="F48" i="3" s="1"/>
  <c r="G48" i="3" s="1"/>
  <c r="H48" i="3" s="1"/>
  <c r="I48" i="3" s="1"/>
  <c r="J48" i="3" s="1"/>
  <c r="K48" i="3" s="1"/>
  <c r="L48" i="3" s="1"/>
  <c r="M48" i="3" s="1"/>
  <c r="N48" i="3" s="1"/>
  <c r="O48" i="3" s="1"/>
  <c r="P48" i="3" s="1"/>
  <c r="Q48" i="3" s="1"/>
  <c r="B6" i="2"/>
  <c r="J26" i="2" s="1"/>
  <c r="B11" i="2"/>
  <c r="B9" i="2" s="1"/>
  <c r="Y26" i="2" s="1"/>
  <c r="B77" i="19"/>
  <c r="B76" i="19"/>
  <c r="B75" i="19"/>
  <c r="C58" i="19"/>
  <c r="B23" i="19"/>
  <c r="B22" i="19"/>
  <c r="B10" i="19"/>
  <c r="B5" i="19"/>
  <c r="C38" i="19" s="1"/>
  <c r="C39" i="19" s="1"/>
  <c r="AB48" i="3" l="1"/>
  <c r="D41" i="2"/>
  <c r="I41" i="2"/>
  <c r="B68" i="9" s="1"/>
  <c r="D77" i="9" s="1"/>
  <c r="E77" i="9" s="1"/>
  <c r="B10" i="2"/>
  <c r="Z26" i="2" s="1"/>
  <c r="B8" i="2"/>
  <c r="X26" i="2" s="1"/>
  <c r="B72" i="19"/>
  <c r="B7" i="2" s="1"/>
  <c r="R26" i="2" s="1"/>
  <c r="C43" i="19"/>
  <c r="C48" i="19"/>
  <c r="D40" i="2" l="1"/>
  <c r="I40" i="2"/>
  <c r="B67" i="9" s="1"/>
  <c r="D76" i="9" s="1"/>
  <c r="E76" i="9" s="1"/>
  <c r="D42" i="2"/>
  <c r="E78" i="9"/>
  <c r="I42" i="2"/>
  <c r="B69" i="9" s="1"/>
  <c r="D78" i="9" s="1"/>
  <c r="B77" i="9"/>
  <c r="E41" i="2"/>
  <c r="F41" i="2" s="1"/>
  <c r="D39" i="2"/>
  <c r="I39" i="2"/>
  <c r="C59" i="19"/>
  <c r="C51" i="19"/>
  <c r="C65" i="19"/>
  <c r="C47" i="19"/>
  <c r="B16" i="19"/>
  <c r="E42" i="2" l="1"/>
  <c r="F42" i="2" s="1"/>
  <c r="B78" i="9"/>
  <c r="E40" i="2"/>
  <c r="F40" i="2" s="1"/>
  <c r="B76" i="9"/>
  <c r="C49" i="2"/>
  <c r="E39" i="2"/>
  <c r="F39" i="2" s="1"/>
  <c r="C63" i="19"/>
  <c r="C64" i="19" s="1"/>
  <c r="C60" i="19"/>
  <c r="D49" i="2" l="1"/>
  <c r="E49" i="2" l="1"/>
  <c r="I8" i="11"/>
  <c r="I10" i="11" s="1"/>
  <c r="H16" i="3"/>
  <c r="H18" i="3" s="1"/>
  <c r="F49" i="2" l="1"/>
  <c r="B15" i="13"/>
  <c r="G49" i="2" l="1"/>
  <c r="Q20" i="11"/>
  <c r="P20" i="11"/>
  <c r="O20" i="11"/>
  <c r="M20" i="11"/>
  <c r="I20" i="11"/>
  <c r="H20" i="11"/>
  <c r="G20" i="11"/>
  <c r="E20" i="11"/>
  <c r="C20" i="11"/>
  <c r="B20" i="11"/>
  <c r="W20" i="11"/>
  <c r="V20" i="11"/>
  <c r="U20" i="11"/>
  <c r="N19" i="11"/>
  <c r="F19" i="11"/>
  <c r="F20" i="11" s="1"/>
  <c r="T19" i="11" l="1"/>
  <c r="I31" i="11"/>
  <c r="B66" i="9" s="1"/>
  <c r="D75" i="9" s="1"/>
  <c r="C31" i="11"/>
  <c r="E75" i="9"/>
  <c r="H49" i="2"/>
  <c r="C41" i="9"/>
  <c r="G41" i="9" s="1"/>
  <c r="C33" i="9"/>
  <c r="G33" i="9" s="1"/>
  <c r="E17" i="9"/>
  <c r="E25" i="9"/>
  <c r="F17" i="9"/>
  <c r="D17" i="9"/>
  <c r="D25" i="9"/>
  <c r="B25" i="9"/>
  <c r="D9" i="9"/>
  <c r="E9" i="9"/>
  <c r="F9" i="9"/>
  <c r="B9" i="9"/>
  <c r="B17" i="9"/>
  <c r="C9" i="9"/>
  <c r="H27" i="11"/>
  <c r="N20" i="11"/>
  <c r="L20" i="11"/>
  <c r="L19" i="11"/>
  <c r="I49" i="2" l="1"/>
  <c r="D31" i="11"/>
  <c r="E31" i="11" s="1"/>
  <c r="F31" i="11" s="1"/>
  <c r="B39" i="11"/>
  <c r="B75" i="9"/>
  <c r="F25" i="9"/>
  <c r="G9" i="9"/>
  <c r="T20" i="11"/>
  <c r="C25" i="9"/>
  <c r="G25" i="11"/>
  <c r="G26" i="11"/>
  <c r="I26" i="11" s="1"/>
  <c r="F27" i="11"/>
  <c r="C39" i="11" l="1"/>
  <c r="B101" i="9"/>
  <c r="J49" i="2"/>
  <c r="G25" i="9"/>
  <c r="C17" i="9"/>
  <c r="G17" i="9" s="1"/>
  <c r="G27" i="11"/>
  <c r="I27" i="11" s="1"/>
  <c r="I25" i="11"/>
  <c r="K49" i="2" l="1"/>
  <c r="D39" i="11"/>
  <c r="C101" i="9"/>
  <c r="D26" i="11"/>
  <c r="D25" i="11"/>
  <c r="E39" i="11" l="1"/>
  <c r="D101" i="9"/>
  <c r="L49" i="2"/>
  <c r="D27" i="11"/>
  <c r="E27" i="11" s="1"/>
  <c r="M49" i="2" l="1"/>
  <c r="F39" i="11"/>
  <c r="E101" i="9"/>
  <c r="C27" i="11"/>
  <c r="G39" i="11" l="1"/>
  <c r="F101" i="9"/>
  <c r="N49" i="2"/>
  <c r="B11" i="10"/>
  <c r="O49" i="2" l="1"/>
  <c r="H39" i="11"/>
  <c r="G101" i="9"/>
  <c r="I39" i="11" l="1"/>
  <c r="H101" i="9"/>
  <c r="P49" i="2"/>
  <c r="Q49" i="2" l="1"/>
  <c r="J39" i="11"/>
  <c r="I101" i="9"/>
  <c r="T29" i="8"/>
  <c r="S29" i="8"/>
  <c r="L29" i="8"/>
  <c r="J29" i="8"/>
  <c r="F29" i="8"/>
  <c r="E29" i="8"/>
  <c r="D29" i="8"/>
  <c r="C29" i="8"/>
  <c r="B29" i="8"/>
  <c r="K39" i="11" l="1"/>
  <c r="J101" i="9"/>
  <c r="R49" i="2"/>
  <c r="F8" i="9"/>
  <c r="K29" i="8"/>
  <c r="H29" i="8"/>
  <c r="Z29" i="8"/>
  <c r="P29" i="8"/>
  <c r="X29" i="8"/>
  <c r="Y29" i="8"/>
  <c r="O28" i="8"/>
  <c r="R29" i="8"/>
  <c r="Q29" i="8"/>
  <c r="I29" i="8"/>
  <c r="T49" i="2" l="1"/>
  <c r="R101" i="9"/>
  <c r="L39" i="11"/>
  <c r="K101" i="9"/>
  <c r="F24" i="9"/>
  <c r="D24" i="9"/>
  <c r="F16" i="9"/>
  <c r="C40" i="9"/>
  <c r="G40" i="9" s="1"/>
  <c r="C32" i="9"/>
  <c r="G32" i="9" s="1"/>
  <c r="W29" i="8"/>
  <c r="O29" i="8"/>
  <c r="D8" i="9"/>
  <c r="W28" i="8"/>
  <c r="M39" i="11" l="1"/>
  <c r="L101" i="9"/>
  <c r="U49" i="2"/>
  <c r="T101" i="9"/>
  <c r="D16" i="9"/>
  <c r="E24" i="9"/>
  <c r="C24" i="9"/>
  <c r="C16" i="9"/>
  <c r="B16" i="9"/>
  <c r="B24" i="9"/>
  <c r="E16" i="9"/>
  <c r="E8" i="9"/>
  <c r="B8" i="9"/>
  <c r="G16" i="9" l="1"/>
  <c r="V49" i="2"/>
  <c r="U101" i="9"/>
  <c r="N39" i="11"/>
  <c r="M101" i="9"/>
  <c r="C8" i="9"/>
  <c r="G8" i="9" s="1"/>
  <c r="O39" i="11" l="1"/>
  <c r="N101" i="9"/>
  <c r="W49" i="2"/>
  <c r="V101" i="9"/>
  <c r="G24" i="9"/>
  <c r="X49" i="2" l="1"/>
  <c r="W101" i="9"/>
  <c r="P39" i="11"/>
  <c r="O101" i="9"/>
  <c r="Q39" i="11" l="1"/>
  <c r="P101" i="9"/>
  <c r="Y49" i="2"/>
  <c r="X101" i="9"/>
  <c r="T28" i="3"/>
  <c r="L28" i="3"/>
  <c r="F28" i="3"/>
  <c r="E28" i="3"/>
  <c r="D28" i="3"/>
  <c r="C28" i="3"/>
  <c r="B28" i="3"/>
  <c r="W27" i="3"/>
  <c r="O27" i="3"/>
  <c r="P28" i="3"/>
  <c r="S27" i="2"/>
  <c r="T27" i="2"/>
  <c r="P27" i="2"/>
  <c r="L27" i="2"/>
  <c r="H27" i="2"/>
  <c r="O26" i="2"/>
  <c r="F27" i="2"/>
  <c r="E27" i="2"/>
  <c r="D27" i="2"/>
  <c r="C27" i="2"/>
  <c r="B27" i="2"/>
  <c r="Z49" i="2" l="1"/>
  <c r="Y101" i="9"/>
  <c r="AB39" i="11"/>
  <c r="Q101" i="9"/>
  <c r="W26" i="2"/>
  <c r="F22" i="9"/>
  <c r="F14" i="9"/>
  <c r="B14" i="9"/>
  <c r="J27" i="2"/>
  <c r="I27" i="2"/>
  <c r="K27" i="2"/>
  <c r="X27" i="2"/>
  <c r="H28" i="3"/>
  <c r="Q28" i="3"/>
  <c r="Y28" i="3"/>
  <c r="Z28" i="3"/>
  <c r="X28" i="3"/>
  <c r="I28" i="3"/>
  <c r="S28" i="3"/>
  <c r="J28" i="3"/>
  <c r="K28" i="3"/>
  <c r="Y27" i="2"/>
  <c r="Z27" i="2"/>
  <c r="Q27" i="2"/>
  <c r="R27" i="2"/>
  <c r="AA49" i="2" l="1"/>
  <c r="Z101" i="9"/>
  <c r="D38" i="9"/>
  <c r="D42" i="9" s="1"/>
  <c r="F23" i="9"/>
  <c r="F26" i="9" s="1"/>
  <c r="C22" i="9"/>
  <c r="B22" i="9"/>
  <c r="D22" i="9"/>
  <c r="E22" i="9"/>
  <c r="E14" i="9"/>
  <c r="O27" i="2"/>
  <c r="O28" i="3"/>
  <c r="R28" i="3"/>
  <c r="W28" i="3" s="1"/>
  <c r="W27" i="2"/>
  <c r="C14" i="9" l="1"/>
  <c r="G14" i="9" s="1"/>
  <c r="AA101" i="9"/>
  <c r="AB101" i="9" s="1"/>
  <c r="AB49" i="2"/>
  <c r="D23" i="9"/>
  <c r="B91" i="9"/>
  <c r="C23" i="9"/>
  <c r="D30" i="9"/>
  <c r="D34" i="9" s="1"/>
  <c r="G7" i="9"/>
  <c r="E23" i="9"/>
  <c r="C91" i="9" l="1"/>
  <c r="G23" i="9"/>
  <c r="B23" i="9"/>
  <c r="F18" i="9"/>
  <c r="G22" i="9" l="1"/>
  <c r="D18" i="9" l="1"/>
  <c r="B18" i="9"/>
  <c r="C18" i="9"/>
  <c r="C26" i="9" l="1"/>
  <c r="B26" i="9"/>
  <c r="D26" i="9"/>
  <c r="E26" i="9" l="1"/>
  <c r="G26" i="9" l="1"/>
  <c r="B51" i="9" s="1"/>
  <c r="C51" i="9" s="1"/>
  <c r="E18" i="9" l="1"/>
  <c r="C38" i="9"/>
  <c r="C42" i="9" s="1"/>
  <c r="E38" i="9"/>
  <c r="E42" i="9" s="1"/>
  <c r="F38" i="9"/>
  <c r="F42" i="9" s="1"/>
  <c r="B38" i="9" l="1"/>
  <c r="B93" i="9"/>
  <c r="C93" i="9" s="1"/>
  <c r="G18" i="9"/>
  <c r="B50" i="9" s="1"/>
  <c r="C50" i="9" s="1"/>
  <c r="B30" i="9"/>
  <c r="B34" i="9" l="1"/>
  <c r="G38" i="9"/>
  <c r="G42" i="9" s="1"/>
  <c r="B57" i="9" s="1"/>
  <c r="B58" i="9" s="1"/>
  <c r="B42" i="9"/>
  <c r="E6" i="9"/>
  <c r="E10" i="9" s="1"/>
  <c r="E30" i="9"/>
  <c r="E34" i="9" s="1"/>
  <c r="F6" i="9"/>
  <c r="F10" i="9" s="1"/>
  <c r="F30" i="9"/>
  <c r="F34" i="9" s="1"/>
  <c r="C6" i="9"/>
  <c r="C10" i="9" s="1"/>
  <c r="D6" i="9"/>
  <c r="D10" i="9" s="1"/>
  <c r="B6" i="9"/>
  <c r="B92" i="9"/>
  <c r="C57" i="9" l="1"/>
  <c r="C58" i="9" s="1"/>
  <c r="C92" i="9"/>
  <c r="B94" i="9"/>
  <c r="C94" i="9" s="1"/>
  <c r="G6" i="9"/>
  <c r="G10" i="9" s="1"/>
  <c r="B47" i="9" s="1"/>
  <c r="B10" i="9"/>
  <c r="C30" i="9"/>
  <c r="C34" i="9" l="1"/>
  <c r="G30" i="9"/>
  <c r="G34" i="9" s="1"/>
  <c r="B54" i="9" s="1"/>
  <c r="B49" i="9"/>
  <c r="C47" i="9"/>
  <c r="C49" i="9" s="1"/>
  <c r="B53" i="9"/>
  <c r="B56" i="9" l="1"/>
  <c r="B59" i="9" s="1"/>
  <c r="B61" i="9" s="1"/>
  <c r="C54" i="9"/>
  <c r="C56" i="9" s="1"/>
  <c r="C53" i="9"/>
  <c r="B70" i="9"/>
  <c r="B71" i="9" s="1"/>
  <c r="C59" i="9" l="1"/>
  <c r="C60" i="9" s="1"/>
  <c r="B60" i="9"/>
  <c r="B62" i="9"/>
  <c r="C62" i="9" l="1"/>
  <c r="C61" i="9"/>
</calcChain>
</file>

<file path=xl/comments1.xml><?xml version="1.0" encoding="utf-8"?>
<comments xmlns="http://schemas.openxmlformats.org/spreadsheetml/2006/main">
  <authors>
    <author>VERDURE Mathieu</author>
  </authors>
  <commentList>
    <comment ref="A52" authorId="0" shapeId="0">
      <text>
        <r>
          <rPr>
            <b/>
            <sz val="9"/>
            <color indexed="81"/>
            <rFont val="Tahoma"/>
            <family val="2"/>
          </rPr>
          <t>VERDURE Mathieu:</t>
        </r>
        <r>
          <rPr>
            <sz val="9"/>
            <color indexed="81"/>
            <rFont val="Tahoma"/>
            <family val="2"/>
          </rPr>
          <t xml:space="preserve">
includes prgrm management</t>
        </r>
      </text>
    </comment>
  </commentList>
</comments>
</file>

<file path=xl/sharedStrings.xml><?xml version="1.0" encoding="utf-8"?>
<sst xmlns="http://schemas.openxmlformats.org/spreadsheetml/2006/main" count="1129" uniqueCount="378">
  <si>
    <t>CAPEX</t>
  </si>
  <si>
    <t>Base Data</t>
  </si>
  <si>
    <t>Parameter</t>
  </si>
  <si>
    <t>Value</t>
  </si>
  <si>
    <t>GHG impact in tCO2 lifespan 12m bus</t>
  </si>
  <si>
    <t>CAPEX 12m BEB</t>
  </si>
  <si>
    <t>All values in USD</t>
  </si>
  <si>
    <t>Project</t>
  </si>
  <si>
    <t>GHG impact in tCO2</t>
  </si>
  <si>
    <t>CAPEX in MUSD</t>
  </si>
  <si>
    <t>Bus Projects as included for GCF</t>
  </si>
  <si>
    <t>Impact tPM2.5</t>
  </si>
  <si>
    <t>Impact tNOx</t>
  </si>
  <si>
    <t>Energy Saving TJ</t>
  </si>
  <si>
    <t>Buses</t>
  </si>
  <si>
    <t>12m</t>
  </si>
  <si>
    <t>18m</t>
  </si>
  <si>
    <t>Total</t>
  </si>
  <si>
    <t>PM2.5 impact per bus lifespan in tons</t>
  </si>
  <si>
    <t>NOx impact per bus lifespan in tons</t>
  </si>
  <si>
    <t>Energy savings per bus lifespan in TJ</t>
  </si>
  <si>
    <t>Share of total in GCF pipeline</t>
  </si>
  <si>
    <t>Grants (max)</t>
  </si>
  <si>
    <t>Category</t>
  </si>
  <si>
    <t>standard</t>
  </si>
  <si>
    <t>GCF Loan shares (max)</t>
  </si>
  <si>
    <t>GCF Loan</t>
  </si>
  <si>
    <t>GCF Grant FA</t>
  </si>
  <si>
    <t>GCF Grant TA</t>
  </si>
  <si>
    <t>Total GCF</t>
  </si>
  <si>
    <t>Co-finance ratio</t>
  </si>
  <si>
    <t xml:space="preserve">GCF TA project preparation in MUSD </t>
  </si>
  <si>
    <t>Total CAPEX FA</t>
  </si>
  <si>
    <t>Direct</t>
  </si>
  <si>
    <t>GHG in tons</t>
  </si>
  <si>
    <t>Energy saving in TJ</t>
  </si>
  <si>
    <t>Investment Projects Brazil</t>
  </si>
  <si>
    <t>All values based on Parameters for Brazil; see spreadsheet Brazil or Grutter Consulting, 2021, Report 3</t>
  </si>
  <si>
    <t>7-8m</t>
  </si>
  <si>
    <t>10m</t>
  </si>
  <si>
    <t>Investment Projects Colombia</t>
  </si>
  <si>
    <t>All values based on Parameters for Colombia; see spreadsheet Colombia or Grutter Consulting, 2021, Report 3</t>
  </si>
  <si>
    <t>Taxi infra</t>
  </si>
  <si>
    <t>Taxi vehicles</t>
  </si>
  <si>
    <t>GCF Grant shares (max)</t>
  </si>
  <si>
    <t>Investment Projects Mexico</t>
  </si>
  <si>
    <t>All values based on Parameters for Mexico; see spreadsheet Mexico or Grutter Consulting, 2021, Report 3</t>
  </si>
  <si>
    <t>Brazil</t>
  </si>
  <si>
    <t>Colombia</t>
  </si>
  <si>
    <t>Costa Rica</t>
  </si>
  <si>
    <t>Mexico</t>
  </si>
  <si>
    <t>All</t>
  </si>
  <si>
    <t>MUSD</t>
  </si>
  <si>
    <t>Impact all</t>
  </si>
  <si>
    <t>total</t>
  </si>
  <si>
    <t>non-sovereign public or private</t>
  </si>
  <si>
    <t>public sovereign</t>
  </si>
  <si>
    <t>share</t>
  </si>
  <si>
    <t>Private/Public of FA</t>
  </si>
  <si>
    <t>Delivery agent</t>
  </si>
  <si>
    <t>banks</t>
  </si>
  <si>
    <t>PPPs/SPVs</t>
  </si>
  <si>
    <t>utility</t>
  </si>
  <si>
    <t>GCF loan MUSD</t>
  </si>
  <si>
    <t>GCF grant MUSD</t>
  </si>
  <si>
    <t>Total GCF MUSD</t>
  </si>
  <si>
    <t>Beneficiary: public or private</t>
  </si>
  <si>
    <t>Carbon Grid Factors</t>
  </si>
  <si>
    <t>Country</t>
  </si>
  <si>
    <t>Argentina</t>
  </si>
  <si>
    <t>Dominican Republic</t>
  </si>
  <si>
    <t>Peru</t>
  </si>
  <si>
    <t>Diesel</t>
  </si>
  <si>
    <t>CNG</t>
  </si>
  <si>
    <t>Investment Projects Peru</t>
  </si>
  <si>
    <t>All values based on Parameters for Peru; see spreadsheet Peru or Grutter Consulting, 2021, Report 3</t>
  </si>
  <si>
    <t>1. Arequipa</t>
  </si>
  <si>
    <t>years bus</t>
  </si>
  <si>
    <t>Lifetime bus</t>
  </si>
  <si>
    <t>Lifetime buses</t>
  </si>
  <si>
    <t>Unit</t>
  </si>
  <si>
    <t>Source</t>
  </si>
  <si>
    <t>kWh</t>
  </si>
  <si>
    <t>years</t>
  </si>
  <si>
    <t>km</t>
  </si>
  <si>
    <t>kWh/km</t>
  </si>
  <si>
    <t>General Parameters</t>
  </si>
  <si>
    <t>NCV of diesel</t>
  </si>
  <si>
    <t>MJ/kg</t>
  </si>
  <si>
    <t>IPCC, 2006, table 1.2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</si>
  <si>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emission factor of diesel</t>
    </r>
  </si>
  <si>
    <r>
      <t>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/MJ</t>
    </r>
  </si>
  <si>
    <t>IPCC, 2006, table 1.4</t>
  </si>
  <si>
    <t>Density of diesel</t>
  </si>
  <si>
    <t>kg/l</t>
  </si>
  <si>
    <t>IEA, 2005</t>
  </si>
  <si>
    <t>Well-to-tank mark-up factor diesel</t>
  </si>
  <si>
    <t>UNFCCC, 2014, Table 3</t>
  </si>
  <si>
    <t>NCV of CNG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</si>
  <si>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emission factor of CNG</t>
    </r>
  </si>
  <si>
    <t>Density of NG</t>
  </si>
  <si>
    <r>
      <t>kg/m</t>
    </r>
    <r>
      <rPr>
        <vertAlign val="superscript"/>
        <sz val="11"/>
        <color theme="1"/>
        <rFont val="Calibri"/>
        <family val="2"/>
        <scheme val="minor"/>
      </rPr>
      <t>3</t>
    </r>
  </si>
  <si>
    <t>IGU, 2012</t>
  </si>
  <si>
    <t>Well-to-tank mark-up factor CNG</t>
  </si>
  <si>
    <t>Methane slip as % of NG consumption TTW</t>
  </si>
  <si>
    <t>Average low and high value of ICCT, 2015, table 4 for crankcase and tailpipe</t>
  </si>
  <si>
    <t>Methane slip as % of NG consumption WTW</t>
  </si>
  <si>
    <t>Average low and high value of ICCT, 2015, table 4 for well-to-pump and fuelling station plus TTW slip</t>
  </si>
  <si>
    <t>NCV of gasoline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</si>
  <si>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emission factor of gasoline</t>
    </r>
  </si>
  <si>
    <t>Density of gasoline</t>
  </si>
  <si>
    <t>Well-to-tank mark-up factor gasoline</t>
  </si>
  <si>
    <t>Conversion kWh to MJ</t>
  </si>
  <si>
    <t>MJ per kWh</t>
  </si>
  <si>
    <t>https://home.uni-leipzig.de/energy/energy-fundamentals/03.htm#:~:text=Power%20units%20can%20be%20converted,%3D%203.6%20MJ%20%5BMegaJoule%5D.</t>
  </si>
  <si>
    <t>Defaults</t>
  </si>
  <si>
    <t>Distance driven per bus per annum</t>
  </si>
  <si>
    <t>Diesel usage</t>
  </si>
  <si>
    <t>l/100km</t>
  </si>
  <si>
    <t>Lifespan bus diesel</t>
  </si>
  <si>
    <r>
      <t>PM</t>
    </r>
    <r>
      <rPr>
        <vertAlign val="subscript"/>
        <sz val="11"/>
        <color theme="1"/>
        <rFont val="Calibri"/>
        <family val="2"/>
        <scheme val="minor"/>
      </rPr>
      <t>2.5</t>
    </r>
    <r>
      <rPr>
        <sz val="11"/>
        <color theme="1"/>
        <rFont val="Calibri"/>
        <family val="2"/>
        <scheme val="minor"/>
      </rPr>
      <t xml:space="preserve"> in tons</t>
    </r>
  </si>
  <si>
    <r>
      <t>NO</t>
    </r>
    <r>
      <rPr>
        <vertAlign val="subscript"/>
        <sz val="11"/>
        <color theme="1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 xml:space="preserve"> in tons</t>
    </r>
  </si>
  <si>
    <t>AFD &amp; Partners</t>
  </si>
  <si>
    <t>MEUR</t>
  </si>
  <si>
    <t>total loan</t>
  </si>
  <si>
    <t>Equity/national finance</t>
  </si>
  <si>
    <t>Criteria/Conditions</t>
  </si>
  <si>
    <t>Criteria Conditions</t>
  </si>
  <si>
    <t>GCF cost per tCO2 USD</t>
  </si>
  <si>
    <t>GCF cost per tCO2 Euro</t>
  </si>
  <si>
    <t>Leverage ratio total</t>
  </si>
  <si>
    <t>Public sector leveraged</t>
  </si>
  <si>
    <t>secondary cities</t>
  </si>
  <si>
    <t>Florianopolis</t>
  </si>
  <si>
    <t>Sinaloa</t>
  </si>
  <si>
    <t>FA Only</t>
  </si>
  <si>
    <t>TJ</t>
  </si>
  <si>
    <t xml:space="preserve">ISI Vs. 31. of 2.2022; electricity usage, </t>
  </si>
  <si>
    <t>TCO 12m Bus</t>
  </si>
  <si>
    <t>PROMOB-E</t>
  </si>
  <si>
    <t>Workday distance driven daily</t>
  </si>
  <si>
    <t>Default</t>
  </si>
  <si>
    <t>Specific electicity usage</t>
  </si>
  <si>
    <t>Chinese average; ADB, 2018; includes AC but not heating</t>
  </si>
  <si>
    <t>Maintenance cost diesel bus incl. labor and tyres</t>
  </si>
  <si>
    <t>USD/km</t>
  </si>
  <si>
    <t>default 1 million km</t>
  </si>
  <si>
    <t>Lifespan bus electric</t>
  </si>
  <si>
    <t xml:space="preserve">max based on battery age; can be 20% more than diesel </t>
  </si>
  <si>
    <t>Lifespan battery @ 80% SOC</t>
  </si>
  <si>
    <t>current guarantee levels</t>
  </si>
  <si>
    <t>Financial defaults</t>
  </si>
  <si>
    <t>CAPEX diesel bus</t>
  </si>
  <si>
    <t>USD</t>
  </si>
  <si>
    <t>CAPEX overnight charged e-bus</t>
  </si>
  <si>
    <t>Based on bus with 350 kWh battery set and sur-cost for battery size</t>
  </si>
  <si>
    <t>CAPEX slow-charged batteries</t>
  </si>
  <si>
    <t>USD/kWh</t>
  </si>
  <si>
    <t>LFP batteries</t>
  </si>
  <si>
    <t>CAPEX fast-charged BEB</t>
  </si>
  <si>
    <t>Based on standard fast-charged bus</t>
  </si>
  <si>
    <t>CAPEX batteries fast-charged</t>
  </si>
  <si>
    <t>NMC batteries</t>
  </si>
  <si>
    <t>Reduction battery cost in 8 years</t>
  </si>
  <si>
    <t>US DOE projections, 2017 have a decrease of 12% per annum; applied to 5 years; https://energy.gov/sites/prod/files/2017/02/f34/67089%20EERE%20LIB%20cost%20vs%20price%20metrics%20r9.pdf</t>
  </si>
  <si>
    <t>CAPEX charger excl. Installation per kW</t>
  </si>
  <si>
    <t>USD/kW</t>
  </si>
  <si>
    <t>Standard chinese chargers, 2 nozzles</t>
  </si>
  <si>
    <t>CAPEX charger installations civil works</t>
  </si>
  <si>
    <t>USD/bus</t>
  </si>
  <si>
    <t>Civil works for chargers; 2 buses per charger; 5,000 USD per unit</t>
  </si>
  <si>
    <t>Cost per bus depot upgrade</t>
  </si>
  <si>
    <t>Coverage of bus and chargers with roof, no paving, includes labour (20m2 per bus, 250 USD/m2 material and 125 USD/m2 labour)</t>
  </si>
  <si>
    <t>Cost grid connection of chargers</t>
  </si>
  <si>
    <t>Compact sub-stations for groups of chargers; 20kV cables from connection substation to the compact substation, 400V cables from compact substation to chagers; costs not born by electric utility</t>
  </si>
  <si>
    <t xml:space="preserve">Maintenance &amp; repair cost of e-buses relative to diesel incl. labour </t>
  </si>
  <si>
    <t>Based on experience in PR China; ADB, 2018; 10% higher tyre costs; 75% lower maintenance staff and general maintenance; 20% lower repair and spare parts</t>
  </si>
  <si>
    <t xml:space="preserve">Maintenance &amp; repair cost of CNG buses relative to diesel incl. labour </t>
  </si>
  <si>
    <t>Based on CNG and diesel bus operators</t>
  </si>
  <si>
    <t>Lifetime chargers</t>
  </si>
  <si>
    <t>standard value</t>
  </si>
  <si>
    <t>Lifetime bus depot upgrades</t>
  </si>
  <si>
    <t>Lifetime grid connection</t>
  </si>
  <si>
    <t xml:space="preserve">Maintenance chargers, grid connection, depot </t>
  </si>
  <si>
    <t>of investment</t>
  </si>
  <si>
    <t>Option A: Overnight Charging</t>
  </si>
  <si>
    <t>Battery Size Determination overnight charging</t>
  </si>
  <si>
    <t>Daily range workday (max)</t>
  </si>
  <si>
    <t>Energy usage day</t>
  </si>
  <si>
    <t>Risk ratio (higher energy consumption)</t>
  </si>
  <si>
    <t>Reserve ratio</t>
  </si>
  <si>
    <t>SOC loss year 8</t>
  </si>
  <si>
    <t>Battery size required year 8</t>
  </si>
  <si>
    <t>Charging required at bus depot overnight</t>
  </si>
  <si>
    <t>Battery capacity</t>
  </si>
  <si>
    <t>Average daily consumption workday</t>
  </si>
  <si>
    <t>Time available at depot night</t>
  </si>
  <si>
    <t>hours</t>
  </si>
  <si>
    <t xml:space="preserve">Power conversion efficiency of chargers </t>
  </si>
  <si>
    <t>Charging power required (incl. 1h reserve for slower charging last 20%)</t>
  </si>
  <si>
    <t>kW</t>
  </si>
  <si>
    <t>Option B: Fast Charging</t>
  </si>
  <si>
    <t>Battery size</t>
  </si>
  <si>
    <t>C-rate</t>
  </si>
  <si>
    <t xml:space="preserve">Charging in 30 minutes </t>
  </si>
  <si>
    <t>Average re-charge during day required with 20% reserve ratio</t>
  </si>
  <si>
    <t>Average share of day electricity</t>
  </si>
  <si>
    <t>Fast-charger</t>
  </si>
  <si>
    <t>Power conversion efficiency of chargers</t>
  </si>
  <si>
    <t>Average required re-charge day with 300 kW charger</t>
  </si>
  <si>
    <t>minutes</t>
  </si>
  <si>
    <t>Number of buses per fast-charger</t>
  </si>
  <si>
    <t>buses / charger</t>
  </si>
  <si>
    <t>Night charger power</t>
  </si>
  <si>
    <t>Other options are possible e.g. smaller battery and higher C-rate, buses per fast-charger based on max 12 units or time*2 for charging and 3 hour slot</t>
  </si>
  <si>
    <t>Diesel Bus WTW</t>
  </si>
  <si>
    <t>Electric Bus</t>
  </si>
  <si>
    <t>GHG Impact per annum in tons</t>
  </si>
  <si>
    <t xml:space="preserve">GHG reduction </t>
  </si>
  <si>
    <t>euro 4/IV</t>
  </si>
  <si>
    <t>Vehicle category</t>
  </si>
  <si>
    <t>Fuel</t>
  </si>
  <si>
    <r>
      <t>NO</t>
    </r>
    <r>
      <rPr>
        <b/>
        <vertAlign val="subscript"/>
        <sz val="11"/>
        <color theme="1"/>
        <rFont val="Calibri"/>
        <family val="2"/>
        <scheme val="minor"/>
      </rPr>
      <t>x</t>
    </r>
  </si>
  <si>
    <r>
      <t>PM</t>
    </r>
    <r>
      <rPr>
        <b/>
        <vertAlign val="subscript"/>
        <sz val="11"/>
        <color theme="1"/>
        <rFont val="Calibri"/>
        <family val="2"/>
        <scheme val="minor"/>
      </rPr>
      <t>2.5</t>
    </r>
  </si>
  <si>
    <t>diesel</t>
  </si>
  <si>
    <t>Urban standard bus</t>
  </si>
  <si>
    <t>EEA, (2021), COPERT standard urban buses based on Tier 3 with 15km/h and 50% load and 0% gradient</t>
  </si>
  <si>
    <t>Diesel bus</t>
  </si>
  <si>
    <t>E-bus</t>
  </si>
  <si>
    <t>Energy saving</t>
  </si>
  <si>
    <t>Energy usage in GJ per annum</t>
  </si>
  <si>
    <t>GHG impact in tCO2 (lifespan impact)</t>
  </si>
  <si>
    <t>BEB overnight</t>
  </si>
  <si>
    <t>BEB fast</t>
  </si>
  <si>
    <t>CAPEX bus</t>
  </si>
  <si>
    <t>CAPEX charging infrastructure</t>
  </si>
  <si>
    <t>CAPEX grid connection</t>
  </si>
  <si>
    <t>CAPEX depot upgrade</t>
  </si>
  <si>
    <t>Total CAPEX</t>
  </si>
  <si>
    <t>Battery replacement yr 8</t>
  </si>
  <si>
    <t>Energy cost yr 1</t>
  </si>
  <si>
    <t>Maintenance cost bus yr 1</t>
  </si>
  <si>
    <t>Maintenance cost infra yr 1</t>
  </si>
  <si>
    <t>Finance cost average per year</t>
  </si>
  <si>
    <t>Economic costs yr 1</t>
  </si>
  <si>
    <t>TCO financial per km</t>
  </si>
  <si>
    <t>TCO economic per km</t>
  </si>
  <si>
    <t>see Brazil sheet</t>
  </si>
  <si>
    <t>Transmilenio</t>
  </si>
  <si>
    <t>calculated</t>
  </si>
  <si>
    <t>Chinese average; ADB, 2018; includes AC; includes charger efficeincy loss</t>
  </si>
  <si>
    <t>Monitoring TransMilenio 12m buses padron all operators average</t>
  </si>
  <si>
    <t>Maintenance cost diesel bus incl. labor excl. Tyres</t>
  </si>
  <si>
    <t>sumatorio for GIZ</t>
  </si>
  <si>
    <t>concession contract</t>
  </si>
  <si>
    <t>Interest rate BEB</t>
  </si>
  <si>
    <t>Bancoldex, 2015.Special credit line; spread needs to be added; see also Findeter</t>
  </si>
  <si>
    <t>Loan duration BEB</t>
  </si>
  <si>
    <t>80% concession period</t>
  </si>
  <si>
    <t>Euro V, sumatorio</t>
  </si>
  <si>
    <t>Based on standard fast-charged bus with 200 kWh set</t>
  </si>
  <si>
    <t>TCO</t>
  </si>
  <si>
    <t>Sheet Colombia FSR</t>
  </si>
  <si>
    <t>SEMARNAT</t>
  </si>
  <si>
    <t>Chinese average; ADB, 2018; includes AC</t>
  </si>
  <si>
    <t>mexico BM</t>
  </si>
  <si>
    <t>Maintenance diesel bus</t>
  </si>
  <si>
    <t>http://documents1.worldbank.org/curated/en/410331548180859451/pdf/133929-WP-PUBLIC-P164403-Summary-Report-Green-Your-Bus-Ride.pdf</t>
  </si>
  <si>
    <t>maintenance e-bus</t>
  </si>
  <si>
    <t>70% of diesel bus</t>
  </si>
  <si>
    <t>SEDEMA concessioned buses</t>
  </si>
  <si>
    <t>90% of estimate of Diesel Euro V, http://documents1.worldbank.org/curated/en/410331548180859451/pdf/133929-WP-PUBLIC-P164403-Summary-Report-Green-Your-Bus-Ride.pdf</t>
  </si>
  <si>
    <t>Corredores complementarios; BID, 2020, figure 34</t>
  </si>
  <si>
    <t>calcualted based on 95% availability and 10% above average for workday</t>
  </si>
  <si>
    <t>operator value reported in IDB, 2020, figure 50</t>
  </si>
  <si>
    <t>CNG usage</t>
  </si>
  <si>
    <t>kg/100km</t>
  </si>
  <si>
    <t>maintenance cost CNG bus incl. labor and tyres</t>
  </si>
  <si>
    <t>CNG cost</t>
  </si>
  <si>
    <t>USD/kg</t>
  </si>
  <si>
    <t>Insurance diesel / CNG as % of CAPEX</t>
  </si>
  <si>
    <t>insurance e-bus as % of CAPEX</t>
  </si>
  <si>
    <t>IDB, 2020 see e.g. Figure 71</t>
  </si>
  <si>
    <t>IDB, 2020, figure 44 incl. taxes</t>
  </si>
  <si>
    <t>CAPEX CNG bus</t>
  </si>
  <si>
    <t>IDB, 2020, figure 27 based on Yutong with 320 kWh battery base price plus 16% IGV and 2% ISC tax; figure 44 IDB, 2020</t>
  </si>
  <si>
    <t>Based on standard fast-charged bus incl. taxes</t>
  </si>
  <si>
    <t xml:space="preserve">Maintenance &amp; repair cost of e-buses incl. labour </t>
  </si>
  <si>
    <t>Based on experience in PR China; ADB, 2018; 10% higher tyre costs; 40% lower maintenance staff and general maintenance; no liquids</t>
  </si>
  <si>
    <t>Insurance cost average</t>
  </si>
  <si>
    <t>GCF Loan FA</t>
  </si>
  <si>
    <t>Total TA</t>
  </si>
  <si>
    <t>Total Program FA + TA</t>
  </si>
  <si>
    <t>AFD FA</t>
  </si>
  <si>
    <t>AFD TA grant</t>
  </si>
  <si>
    <t>Total AFD</t>
  </si>
  <si>
    <t>National FA</t>
  </si>
  <si>
    <t>Total national</t>
  </si>
  <si>
    <t xml:space="preserve">Co finance </t>
  </si>
  <si>
    <t>Mode Shift Impact</t>
  </si>
  <si>
    <t>Projected additional patronage due to multiple measures</t>
  </si>
  <si>
    <t>Khan, 2021 and booz&amp;co, 2009</t>
  </si>
  <si>
    <t>Additional patronage from cars</t>
  </si>
  <si>
    <t>Assumed lifespan</t>
  </si>
  <si>
    <t>gCO2/pkm</t>
  </si>
  <si>
    <t>EF per pkm cars</t>
  </si>
  <si>
    <t>Energy usage bus per pkm</t>
  </si>
  <si>
    <t>MJ/pkm</t>
  </si>
  <si>
    <t>Energy usage car per pkm</t>
  </si>
  <si>
    <t>Input Data</t>
  </si>
  <si>
    <t>Conservative assumption as other motorized modes excluding PT are higher emitting (taxis/ride-hailing), or do not have a significant mode share for private usage (motorcycles are used more for commercial purposes)</t>
  </si>
  <si>
    <t>infrastructure measures</t>
  </si>
  <si>
    <t>Average occupancy rate PT</t>
  </si>
  <si>
    <t>passengers</t>
  </si>
  <si>
    <t>GEF, 2015, TEEMP, default values for Latin America, p.54</t>
  </si>
  <si>
    <t>Average occupancy rate cars</t>
  </si>
  <si>
    <t>Average bus GHG and occupation rate</t>
  </si>
  <si>
    <t>Based on gasoline car with 7l/100km (TEEMP default, p. 56)</t>
  </si>
  <si>
    <t xml:space="preserve">GHG Impact </t>
  </si>
  <si>
    <t>t/a</t>
  </si>
  <si>
    <t>g/km</t>
  </si>
  <si>
    <t>kgCO2/kWh</t>
  </si>
  <si>
    <t>EF per pkm public transport Brazil</t>
  </si>
  <si>
    <t>EF per pkm public transport Colombia</t>
  </si>
  <si>
    <t>GHG Impact</t>
  </si>
  <si>
    <t>PT impact</t>
  </si>
  <si>
    <t>PT current patronage per annum</t>
  </si>
  <si>
    <t>GHG impact per annum of PT measures</t>
  </si>
  <si>
    <t>tCO2</t>
  </si>
  <si>
    <t>GHG impact cumulative PT measures</t>
  </si>
  <si>
    <t>Energy savings per annum</t>
  </si>
  <si>
    <t>Energy savings cumulative</t>
  </si>
  <si>
    <t>GHG tons</t>
  </si>
  <si>
    <t>PM2.5 tons</t>
  </si>
  <si>
    <t>Nox tons</t>
  </si>
  <si>
    <t>Energy saved TJ</t>
  </si>
  <si>
    <t>3.-TUMI-City-profile-and-story-Florianopolis.pdf (transformative-mobility.org)</t>
  </si>
  <si>
    <t>Average trip distance</t>
  </si>
  <si>
    <t>GEF, 2015, TEEMP, default values for Latin America for PT, p.54</t>
  </si>
  <si>
    <t>cumulative lifespan</t>
  </si>
  <si>
    <t>Impacts PT plus BEB</t>
  </si>
  <si>
    <t>Santa Marta, Pasto, Montería, Popayan, Armenia, Valledupar, Sincelejo y Neiva (see e.g. BPIN Manizales SITP, sheet estudios necesidades, demanda linea base historico last available year (2018))</t>
  </si>
  <si>
    <t>SEDEMA concessioned buses with longer period</t>
  </si>
  <si>
    <t>Impacts BEB</t>
  </si>
  <si>
    <t>AFD and partners</t>
  </si>
  <si>
    <t>National</t>
  </si>
  <si>
    <t>Impact cumulative</t>
  </si>
  <si>
    <t>Y 3 cumulative</t>
  </si>
  <si>
    <t>Total lifespan</t>
  </si>
  <si>
    <t>annual average</t>
  </si>
  <si>
    <t>annual impacts include different lifespans PT and BEBs</t>
  </si>
  <si>
    <t>BEBs</t>
  </si>
  <si>
    <t>Component 2</t>
  </si>
  <si>
    <t>Loan GCF</t>
  </si>
  <si>
    <t>Loan AFD</t>
  </si>
  <si>
    <t>Euro</t>
  </si>
  <si>
    <t>Component 3</t>
  </si>
  <si>
    <t>GHG impact per year Brazil</t>
  </si>
  <si>
    <t>GHG impact per year Colombia</t>
  </si>
  <si>
    <t>GHG impact per year Mexico</t>
  </si>
  <si>
    <t>GHG impact per year Peru</t>
  </si>
  <si>
    <t>GHG impact per year</t>
  </si>
  <si>
    <t xml:space="preserve">Median </t>
  </si>
  <si>
    <t>y1</t>
  </si>
  <si>
    <t>y2</t>
  </si>
  <si>
    <t>y3</t>
  </si>
  <si>
    <t>y4</t>
  </si>
  <si>
    <t>y5</t>
  </si>
  <si>
    <t>12m standard bus, USD 2023</t>
  </si>
  <si>
    <t>Euro V bus; based on WRI cited in PROMOB-e  table 7</t>
  </si>
  <si>
    <t>Euro V bus; based on WRI cited in PROMOB-e table 7</t>
  </si>
  <si>
    <t>TCO Buses for 2023</t>
  </si>
  <si>
    <t>TCO for 2023</t>
  </si>
  <si>
    <t>225km per day with 330 days; SEMARNAT Concessioned buses</t>
  </si>
  <si>
    <t>TOC 2023</t>
  </si>
  <si>
    <t>y6</t>
  </si>
  <si>
    <t>y7</t>
  </si>
  <si>
    <t>Y 7 cumulative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</si>
</sst>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0.0%"/>
    <numFmt numFmtId="168" formatCode="_-* #,##0_-;\-* #,##0_-;_-* &quot;-&quot;??_-;_-@_-"/>
    <numFmt numFmtId="169" formatCode="#,##0.0_ ;\-#,##0.0\ "/>
    <numFmt numFmtId="170" formatCode="#,##0.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sz val="11"/>
      <color theme="1"/>
      <name val="Cambria"/>
      <family val="1"/>
    </font>
    <font>
      <u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0" fillId="0" borderId="0"/>
    <xf numFmtId="0" fontId="1" fillId="0" borderId="0"/>
    <xf numFmtId="0" fontId="1" fillId="0" borderId="0"/>
  </cellStyleXfs>
  <cellXfs count="17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0" fillId="0" borderId="1" xfId="0" applyBorder="1"/>
    <xf numFmtId="3" fontId="0" fillId="0" borderId="1" xfId="0" applyNumberForma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9" fontId="0" fillId="0" borderId="0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0" xfId="0" applyFont="1" applyFill="1"/>
    <xf numFmtId="0" fontId="4" fillId="0" borderId="2" xfId="0" applyFont="1" applyBorder="1"/>
    <xf numFmtId="1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9" fontId="0" fillId="0" borderId="1" xfId="1" applyFont="1" applyBorder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3" fontId="0" fillId="0" borderId="1" xfId="0" applyNumberFormat="1" applyBorder="1"/>
    <xf numFmtId="1" fontId="0" fillId="0" borderId="1" xfId="0" applyNumberFormat="1" applyBorder="1" applyAlignment="1">
      <alignment horizontal="center"/>
    </xf>
    <xf numFmtId="1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9" fontId="2" fillId="3" borderId="1" xfId="1" applyFont="1" applyFill="1" applyBorder="1" applyAlignment="1">
      <alignment horizontal="center"/>
    </xf>
    <xf numFmtId="0" fontId="2" fillId="3" borderId="1" xfId="0" applyFont="1" applyFill="1" applyBorder="1"/>
    <xf numFmtId="3" fontId="0" fillId="3" borderId="1" xfId="0" applyNumberFormat="1" applyFill="1" applyBorder="1" applyAlignment="1">
      <alignment horizontal="center"/>
    </xf>
    <xf numFmtId="3" fontId="2" fillId="3" borderId="1" xfId="0" applyNumberFormat="1" applyFont="1" applyFill="1" applyBorder="1" applyAlignment="1">
      <alignment horizontal="center"/>
    </xf>
    <xf numFmtId="9" fontId="0" fillId="0" borderId="1" xfId="1" applyFont="1" applyFill="1" applyBorder="1" applyAlignment="1">
      <alignment horizontal="center"/>
    </xf>
    <xf numFmtId="9" fontId="0" fillId="0" borderId="0" xfId="1" applyFont="1" applyFill="1" applyBorder="1" applyAlignment="1">
      <alignment horizontal="center"/>
    </xf>
    <xf numFmtId="3" fontId="0" fillId="0" borderId="0" xfId="0" applyNumberFormat="1" applyAlignment="1">
      <alignment horizontal="left"/>
    </xf>
    <xf numFmtId="0" fontId="4" fillId="0" borderId="0" xfId="0" applyFont="1"/>
    <xf numFmtId="9" fontId="2" fillId="0" borderId="0" xfId="1" applyFont="1" applyFill="1" applyBorder="1" applyAlignment="1">
      <alignment horizontal="center"/>
    </xf>
    <xf numFmtId="3" fontId="0" fillId="0" borderId="1" xfId="0" applyNumberFormat="1" applyBorder="1" applyAlignment="1">
      <alignment horizontal="center" wrapText="1"/>
    </xf>
    <xf numFmtId="9" fontId="2" fillId="2" borderId="1" xfId="1" applyFont="1" applyFill="1" applyBorder="1" applyAlignment="1">
      <alignment horizontal="center" vertical="center"/>
    </xf>
    <xf numFmtId="165" fontId="1" fillId="0" borderId="1" xfId="1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3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9" fontId="0" fillId="0" borderId="1" xfId="1" applyFont="1" applyBorder="1" applyAlignment="1">
      <alignment horizontal="center" wrapText="1"/>
    </xf>
    <xf numFmtId="9" fontId="0" fillId="0" borderId="1" xfId="0" applyNumberFormat="1" applyBorder="1" applyAlignment="1">
      <alignment wrapText="1"/>
    </xf>
    <xf numFmtId="167" fontId="0" fillId="0" borderId="1" xfId="1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9" fontId="0" fillId="0" borderId="6" xfId="1" applyFont="1" applyFill="1" applyBorder="1" applyAlignment="1">
      <alignment horizontal="center"/>
    </xf>
    <xf numFmtId="9" fontId="0" fillId="0" borderId="6" xfId="0" applyNumberFormat="1" applyBorder="1" applyAlignment="1">
      <alignment horizontal="center"/>
    </xf>
    <xf numFmtId="0" fontId="0" fillId="0" borderId="7" xfId="0" applyBorder="1"/>
    <xf numFmtId="3" fontId="0" fillId="0" borderId="7" xfId="0" applyNumberFormat="1" applyBorder="1" applyAlignment="1">
      <alignment horizontal="left"/>
    </xf>
    <xf numFmtId="0" fontId="0" fillId="0" borderId="7" xfId="0" applyBorder="1" applyAlignment="1">
      <alignment horizontal="left"/>
    </xf>
    <xf numFmtId="166" fontId="0" fillId="0" borderId="0" xfId="0" applyNumberFormat="1"/>
    <xf numFmtId="168" fontId="0" fillId="0" borderId="0" xfId="3" applyNumberFormat="1" applyFont="1"/>
    <xf numFmtId="2" fontId="0" fillId="0" borderId="1" xfId="0" applyNumberFormat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169" fontId="0" fillId="0" borderId="0" xfId="3" applyNumberFormat="1" applyFont="1" applyFill="1" applyBorder="1" applyAlignment="1">
      <alignment horizontal="center"/>
    </xf>
    <xf numFmtId="169" fontId="0" fillId="0" borderId="0" xfId="0" applyNumberFormat="1" applyAlignment="1">
      <alignment horizontal="center"/>
    </xf>
    <xf numFmtId="3" fontId="0" fillId="0" borderId="1" xfId="3" applyNumberFormat="1" applyFont="1" applyBorder="1" applyAlignment="1">
      <alignment horizontal="center"/>
    </xf>
    <xf numFmtId="3" fontId="2" fillId="3" borderId="1" xfId="3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11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wrapText="1"/>
    </xf>
    <xf numFmtId="9" fontId="0" fillId="0" borderId="1" xfId="1" applyFont="1" applyBorder="1" applyAlignment="1">
      <alignment horizontal="center" vertical="center"/>
    </xf>
    <xf numFmtId="3" fontId="0" fillId="0" borderId="1" xfId="1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9" fontId="0" fillId="0" borderId="0" xfId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2" fillId="4" borderId="0" xfId="0" applyFont="1" applyFill="1"/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4" borderId="0" xfId="0" applyFont="1" applyFill="1" applyAlignment="1">
      <alignment wrapText="1"/>
    </xf>
    <xf numFmtId="3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0" fillId="0" borderId="0" xfId="1" applyNumberFormat="1" applyFont="1" applyBorder="1" applyAlignment="1">
      <alignment horizontal="center" vertical="center"/>
    </xf>
    <xf numFmtId="0" fontId="14" fillId="0" borderId="0" xfId="0" applyFont="1"/>
    <xf numFmtId="0" fontId="0" fillId="2" borderId="1" xfId="0" applyFill="1" applyBorder="1"/>
    <xf numFmtId="2" fontId="0" fillId="0" borderId="1" xfId="1" applyNumberFormat="1" applyFont="1" applyBorder="1" applyAlignment="1">
      <alignment horizontal="center" vertical="center"/>
    </xf>
    <xf numFmtId="0" fontId="0" fillId="5" borderId="1" xfId="0" applyFill="1" applyBorder="1"/>
    <xf numFmtId="3" fontId="0" fillId="5" borderId="1" xfId="0" applyNumberFormat="1" applyFill="1" applyBorder="1" applyAlignment="1">
      <alignment horizontal="center"/>
    </xf>
    <xf numFmtId="3" fontId="0" fillId="5" borderId="1" xfId="3" applyNumberFormat="1" applyFont="1" applyFill="1" applyBorder="1" applyAlignment="1">
      <alignment horizontal="center"/>
    </xf>
    <xf numFmtId="0" fontId="2" fillId="5" borderId="1" xfId="0" applyFont="1" applyFill="1" applyBorder="1"/>
    <xf numFmtId="3" fontId="2" fillId="5" borderId="1" xfId="0" applyNumberFormat="1" applyFont="1" applyFill="1" applyBorder="1" applyAlignment="1">
      <alignment horizontal="center"/>
    </xf>
    <xf numFmtId="3" fontId="2" fillId="5" borderId="1" xfId="3" applyNumberFormat="1" applyFont="1" applyFill="1" applyBorder="1" applyAlignment="1">
      <alignment horizontal="center"/>
    </xf>
    <xf numFmtId="1" fontId="0" fillId="5" borderId="0" xfId="0" applyNumberFormat="1" applyFill="1" applyAlignment="1">
      <alignment horizontal="center"/>
    </xf>
    <xf numFmtId="170" fontId="14" fillId="0" borderId="0" xfId="0" applyNumberFormat="1" applyFont="1" applyAlignment="1">
      <alignment horizontal="center" vertical="center" wrapText="1"/>
    </xf>
    <xf numFmtId="0" fontId="0" fillId="6" borderId="1" xfId="0" applyFill="1" applyBorder="1"/>
    <xf numFmtId="3" fontId="0" fillId="6" borderId="1" xfId="0" applyNumberFormat="1" applyFill="1" applyBorder="1" applyAlignment="1">
      <alignment horizontal="center"/>
    </xf>
    <xf numFmtId="3" fontId="1" fillId="6" borderId="1" xfId="3" applyNumberFormat="1" applyFont="1" applyFill="1" applyBorder="1" applyAlignment="1">
      <alignment horizontal="center"/>
    </xf>
    <xf numFmtId="0" fontId="2" fillId="6" borderId="1" xfId="0" applyFont="1" applyFill="1" applyBorder="1"/>
    <xf numFmtId="3" fontId="2" fillId="6" borderId="1" xfId="0" applyNumberFormat="1" applyFont="1" applyFill="1" applyBorder="1" applyAlignment="1">
      <alignment horizontal="center"/>
    </xf>
    <xf numFmtId="0" fontId="2" fillId="7" borderId="1" xfId="0" applyFont="1" applyFill="1" applyBorder="1"/>
    <xf numFmtId="3" fontId="2" fillId="7" borderId="1" xfId="0" applyNumberFormat="1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9" fontId="0" fillId="0" borderId="0" xfId="1" applyFont="1" applyFill="1" applyBorder="1" applyAlignment="1">
      <alignment horizontal="right"/>
    </xf>
    <xf numFmtId="1" fontId="2" fillId="3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9" fontId="0" fillId="0" borderId="0" xfId="0" applyNumberFormat="1" applyAlignment="1">
      <alignment horizontal="center"/>
    </xf>
    <xf numFmtId="0" fontId="5" fillId="0" borderId="0" xfId="2"/>
    <xf numFmtId="164" fontId="0" fillId="0" borderId="1" xfId="0" applyNumberFormat="1" applyBorder="1" applyAlignment="1">
      <alignment horizontal="center"/>
    </xf>
    <xf numFmtId="2" fontId="2" fillId="2" borderId="3" xfId="0" applyNumberFormat="1" applyFont="1" applyFill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9" fontId="2" fillId="2" borderId="3" xfId="1" applyFont="1" applyFill="1" applyBorder="1" applyAlignment="1">
      <alignment horizontal="center" vertical="center"/>
    </xf>
    <xf numFmtId="9" fontId="2" fillId="2" borderId="4" xfId="1" applyFont="1" applyFill="1" applyBorder="1" applyAlignment="1">
      <alignment horizontal="center" vertical="center"/>
    </xf>
    <xf numFmtId="9" fontId="2" fillId="2" borderId="5" xfId="1" applyFont="1" applyFill="1" applyBorder="1" applyAlignment="1">
      <alignment horizontal="center" vertical="center"/>
    </xf>
    <xf numFmtId="3" fontId="0" fillId="0" borderId="0" xfId="0" applyNumberFormat="1" applyAlignment="1">
      <alignment horizontal="left" wrapText="1"/>
    </xf>
    <xf numFmtId="165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3" fontId="0" fillId="0" borderId="1" xfId="0" applyNumberFormat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3" fontId="0" fillId="0" borderId="1" xfId="0" applyNumberFormat="1" applyBorder="1" applyAlignment="1">
      <alignment horizontal="left" wrapText="1"/>
    </xf>
    <xf numFmtId="165" fontId="0" fillId="0" borderId="1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5" fillId="0" borderId="3" xfId="2" applyBorder="1" applyAlignment="1">
      <alignment horizontal="left" wrapText="1"/>
    </xf>
    <xf numFmtId="0" fontId="1" fillId="0" borderId="3" xfId="2" applyFont="1" applyFill="1" applyBorder="1" applyAlignment="1">
      <alignment horizontal="left" wrapText="1"/>
    </xf>
    <xf numFmtId="0" fontId="1" fillId="0" borderId="4" xfId="2" applyFont="1" applyFill="1" applyBorder="1" applyAlignment="1">
      <alignment horizontal="left" wrapText="1"/>
    </xf>
    <xf numFmtId="9" fontId="0" fillId="0" borderId="0" xfId="0" applyNumberFormat="1" applyBorder="1" applyAlignment="1">
      <alignment horizontal="center"/>
    </xf>
    <xf numFmtId="9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3" fontId="0" fillId="0" borderId="0" xfId="0" applyNumberFormat="1" applyBorder="1" applyAlignment="1">
      <alignment horizontal="center"/>
    </xf>
    <xf numFmtId="1" fontId="0" fillId="0" borderId="1" xfId="0" applyNumberFormat="1" applyBorder="1"/>
    <xf numFmtId="3" fontId="0" fillId="0" borderId="1" xfId="0" applyNumberFormat="1" applyFill="1" applyBorder="1" applyAlignment="1">
      <alignment horizontal="center"/>
    </xf>
  </cellXfs>
  <cellStyles count="8">
    <cellStyle name="Lien hypertexte" xfId="2" builtinId="8"/>
    <cellStyle name="Milliers" xfId="3" builtinId="3"/>
    <cellStyle name="Normal" xfId="0" builtinId="0"/>
    <cellStyle name="Pourcentage" xfId="1" builtinId="5"/>
    <cellStyle name="Standard 2 2" xfId="4"/>
    <cellStyle name="Standard 2 2 2" xfId="7"/>
    <cellStyle name="Standard 3" xfId="5"/>
    <cellStyle name="Standard 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s://home.uni-leipzig.de/energy/energy-fundamentals/03.ht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transformative-mobility.org/assets/publications/3.-TUMI-City-profile-and-story-Florianopolis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documents1.worldbank.org/curated/en/410331548180859451/pdf/133929-WP-PUBLIC-P164403-Summary-Report-Green-Your-Bus-Ride.pdf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01"/>
  <sheetViews>
    <sheetView tabSelected="1" topLeftCell="A64" zoomScale="70" zoomScaleNormal="70" workbookViewId="0">
      <selection activeCell="B66" sqref="B66"/>
    </sheetView>
  </sheetViews>
  <sheetFormatPr baseColWidth="10" defaultColWidth="9.109375" defaultRowHeight="14.4" x14ac:dyDescent="0.3"/>
  <cols>
    <col min="1" max="1" width="35.21875" customWidth="1"/>
    <col min="2" max="2" width="14.21875" customWidth="1"/>
    <col min="3" max="3" width="13.33203125" customWidth="1"/>
    <col min="4" max="4" width="12.109375" customWidth="1"/>
    <col min="5" max="5" width="13.77734375" customWidth="1"/>
    <col min="6" max="6" width="17.77734375" customWidth="1"/>
    <col min="7" max="7" width="18.77734375" customWidth="1"/>
    <col min="8" max="8" width="14.33203125" customWidth="1"/>
    <col min="9" max="9" width="19.21875" customWidth="1"/>
    <col min="10" max="10" width="14.21875" customWidth="1"/>
    <col min="11" max="11" width="17.77734375" customWidth="1"/>
    <col min="13" max="13" width="34.5546875" bestFit="1" customWidth="1"/>
    <col min="14" max="18" width="15.77734375" customWidth="1"/>
  </cols>
  <sheetData>
    <row r="1" spans="1:7" ht="21" hidden="1" x14ac:dyDescent="0.4">
      <c r="A1" s="1" t="s">
        <v>135</v>
      </c>
    </row>
    <row r="2" spans="1:7" ht="21" hidden="1" x14ac:dyDescent="0.4">
      <c r="A2" s="1"/>
    </row>
    <row r="3" spans="1:7" hidden="1" x14ac:dyDescent="0.3">
      <c r="G3" s="43"/>
    </row>
    <row r="4" spans="1:7" hidden="1" x14ac:dyDescent="0.3">
      <c r="A4" s="3" t="s">
        <v>0</v>
      </c>
    </row>
    <row r="5" spans="1:7" hidden="1" x14ac:dyDescent="0.3">
      <c r="A5" s="6" t="s">
        <v>2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 t="s">
        <v>17</v>
      </c>
    </row>
    <row r="6" spans="1:7" hidden="1" x14ac:dyDescent="0.3">
      <c r="A6" s="4" t="s">
        <v>47</v>
      </c>
      <c r="B6" s="5" t="e">
        <f>Brazil!#REF!</f>
        <v>#REF!</v>
      </c>
      <c r="C6" s="5" t="e">
        <f>Brazil!#REF!</f>
        <v>#REF!</v>
      </c>
      <c r="D6" s="5" t="e">
        <f>Brazil!#REF!</f>
        <v>#REF!</v>
      </c>
      <c r="E6" s="5" t="e">
        <f>Brazil!#REF!</f>
        <v>#REF!</v>
      </c>
      <c r="F6" s="5" t="e">
        <f>Brazil!#REF!</f>
        <v>#REF!</v>
      </c>
      <c r="G6" s="5" t="e">
        <f>SUM(B6:F6)</f>
        <v>#REF!</v>
      </c>
    </row>
    <row r="7" spans="1:7" hidden="1" x14ac:dyDescent="0.3">
      <c r="A7" s="4" t="s">
        <v>48</v>
      </c>
      <c r="B7" s="5" t="e">
        <f>Colombia!#REF!</f>
        <v>#REF!</v>
      </c>
      <c r="C7" s="5" t="e">
        <f>Colombia!#REF!</f>
        <v>#REF!</v>
      </c>
      <c r="D7" s="5" t="e">
        <f>Colombia!#REF!</f>
        <v>#REF!</v>
      </c>
      <c r="E7" s="5" t="e">
        <f>Colombia!#REF!</f>
        <v>#REF!</v>
      </c>
      <c r="F7" s="5" t="e">
        <f>Colombia!#REF!</f>
        <v>#REF!</v>
      </c>
      <c r="G7" s="5" t="e">
        <f t="shared" ref="G7:G9" si="0">SUM(B7:F7)</f>
        <v>#REF!</v>
      </c>
    </row>
    <row r="8" spans="1:7" hidden="1" x14ac:dyDescent="0.3">
      <c r="A8" s="4" t="s">
        <v>50</v>
      </c>
      <c r="B8" s="5" t="e">
        <f>Mexico!#REF!</f>
        <v>#REF!</v>
      </c>
      <c r="C8" s="5" t="e">
        <f>Mexico!#REF!</f>
        <v>#REF!</v>
      </c>
      <c r="D8" s="5" t="e">
        <f>Mexico!#REF!</f>
        <v>#REF!</v>
      </c>
      <c r="E8" s="5" t="e">
        <f>Mexico!#REF!</f>
        <v>#REF!</v>
      </c>
      <c r="F8" s="5" t="e">
        <f>Mexico!#REF!</f>
        <v>#REF!</v>
      </c>
      <c r="G8" s="5" t="e">
        <f t="shared" si="0"/>
        <v>#REF!</v>
      </c>
    </row>
    <row r="9" spans="1:7" hidden="1" x14ac:dyDescent="0.3">
      <c r="A9" s="4" t="s">
        <v>71</v>
      </c>
      <c r="B9" s="5" t="e">
        <f>Peru!#REF!</f>
        <v>#REF!</v>
      </c>
      <c r="C9" s="5" t="e">
        <f>Peru!#REF!</f>
        <v>#REF!</v>
      </c>
      <c r="D9" s="5" t="e">
        <f>Peru!#REF!</f>
        <v>#REF!</v>
      </c>
      <c r="E9" s="5" t="e">
        <f>Peru!#REF!</f>
        <v>#REF!</v>
      </c>
      <c r="F9" s="5" t="e">
        <f>Peru!#REF!</f>
        <v>#REF!</v>
      </c>
      <c r="G9" s="5" t="e">
        <f t="shared" si="0"/>
        <v>#REF!</v>
      </c>
    </row>
    <row r="10" spans="1:7" hidden="1" x14ac:dyDescent="0.3">
      <c r="A10" s="18" t="s">
        <v>17</v>
      </c>
      <c r="B10" s="19" t="e">
        <f t="shared" ref="B10:G10" si="1">SUM(B6:B9)</f>
        <v>#REF!</v>
      </c>
      <c r="C10" s="19" t="e">
        <f t="shared" si="1"/>
        <v>#REF!</v>
      </c>
      <c r="D10" s="19" t="e">
        <f t="shared" si="1"/>
        <v>#REF!</v>
      </c>
      <c r="E10" s="19" t="e">
        <f t="shared" si="1"/>
        <v>#REF!</v>
      </c>
      <c r="F10" s="19" t="e">
        <f t="shared" si="1"/>
        <v>#REF!</v>
      </c>
      <c r="G10" s="19" t="e">
        <f t="shared" si="1"/>
        <v>#REF!</v>
      </c>
    </row>
    <row r="11" spans="1:7" hidden="1" x14ac:dyDescent="0.3"/>
    <row r="12" spans="1:7" hidden="1" x14ac:dyDescent="0.3">
      <c r="A12" s="3" t="s">
        <v>26</v>
      </c>
    </row>
    <row r="13" spans="1:7" hidden="1" x14ac:dyDescent="0.3">
      <c r="A13" s="6" t="s">
        <v>2</v>
      </c>
      <c r="B13" s="7">
        <v>1</v>
      </c>
      <c r="C13" s="7">
        <v>2</v>
      </c>
      <c r="D13" s="7">
        <v>3</v>
      </c>
      <c r="E13" s="7">
        <v>4</v>
      </c>
      <c r="F13" s="7">
        <v>5</v>
      </c>
      <c r="G13" s="7" t="s">
        <v>17</v>
      </c>
    </row>
    <row r="14" spans="1:7" hidden="1" x14ac:dyDescent="0.3">
      <c r="A14" s="4" t="s">
        <v>47</v>
      </c>
      <c r="B14" s="5" t="e">
        <f>Brazil!#REF!+Brazil!#REF!</f>
        <v>#REF!</v>
      </c>
      <c r="C14" s="5" t="e">
        <f>Brazil!#REF!+Brazil!#REF!</f>
        <v>#REF!</v>
      </c>
      <c r="D14" s="5" t="e">
        <f>Brazil!#REF!+Brazil!#REF!</f>
        <v>#REF!</v>
      </c>
      <c r="E14" s="5" t="e">
        <f>Brazil!#REF!+Brazil!#REF!</f>
        <v>#REF!</v>
      </c>
      <c r="F14" s="5" t="e">
        <f>Brazil!#REF!+Brazil!#REF!</f>
        <v>#REF!</v>
      </c>
      <c r="G14" s="5" t="e">
        <f>SUM(B14:F14)</f>
        <v>#REF!</v>
      </c>
    </row>
    <row r="15" spans="1:7" hidden="1" x14ac:dyDescent="0.3">
      <c r="A15" s="4" t="s">
        <v>48</v>
      </c>
      <c r="B15" s="5" t="e">
        <f>Colombia!#REF!+Colombia!#REF!</f>
        <v>#REF!</v>
      </c>
      <c r="C15" s="5" t="e">
        <f>Colombia!#REF!+Colombia!#REF!</f>
        <v>#REF!</v>
      </c>
      <c r="D15" s="5" t="e">
        <f>Colombia!#REF!+Colombia!#REF!</f>
        <v>#REF!</v>
      </c>
      <c r="E15" s="5" t="e">
        <f>Colombia!#REF!+Colombia!#REF!</f>
        <v>#REF!</v>
      </c>
      <c r="F15" s="5" t="e">
        <f>Colombia!#REF!+Colombia!#REF!</f>
        <v>#REF!</v>
      </c>
      <c r="G15" s="5" t="e">
        <f t="shared" ref="G15:G17" si="2">SUM(B15:F15)</f>
        <v>#REF!</v>
      </c>
    </row>
    <row r="16" spans="1:7" hidden="1" x14ac:dyDescent="0.3">
      <c r="A16" s="4" t="s">
        <v>50</v>
      </c>
      <c r="B16" s="5" t="e">
        <f>Mexico!#REF!</f>
        <v>#REF!</v>
      </c>
      <c r="C16" s="5" t="e">
        <f>Mexico!#REF!</f>
        <v>#REF!</v>
      </c>
      <c r="D16" s="5" t="e">
        <f>Mexico!#REF!</f>
        <v>#REF!</v>
      </c>
      <c r="E16" s="5" t="e">
        <f>Mexico!#REF!</f>
        <v>#REF!</v>
      </c>
      <c r="F16" s="5" t="e">
        <f>Mexico!#REF!</f>
        <v>#REF!</v>
      </c>
      <c r="G16" s="5" t="e">
        <f t="shared" si="2"/>
        <v>#REF!</v>
      </c>
    </row>
    <row r="17" spans="1:7" hidden="1" x14ac:dyDescent="0.3">
      <c r="A17" s="4" t="s">
        <v>71</v>
      </c>
      <c r="B17" s="5" t="e">
        <f>Peru!#REF!</f>
        <v>#REF!</v>
      </c>
      <c r="C17" s="5" t="e">
        <f>Peru!#REF!</f>
        <v>#REF!</v>
      </c>
      <c r="D17" s="5" t="e">
        <f>Peru!#REF!</f>
        <v>#REF!</v>
      </c>
      <c r="E17" s="5" t="e">
        <f>Peru!#REF!</f>
        <v>#REF!</v>
      </c>
      <c r="F17" s="5" t="e">
        <f>Peru!#REF!</f>
        <v>#REF!</v>
      </c>
      <c r="G17" s="5" t="e">
        <f t="shared" si="2"/>
        <v>#REF!</v>
      </c>
    </row>
    <row r="18" spans="1:7" hidden="1" x14ac:dyDescent="0.3">
      <c r="A18" s="18" t="s">
        <v>17</v>
      </c>
      <c r="B18" s="19" t="e">
        <f t="shared" ref="B18:G18" si="3">SUM(B14:B17)</f>
        <v>#REF!</v>
      </c>
      <c r="C18" s="19" t="e">
        <f t="shared" si="3"/>
        <v>#REF!</v>
      </c>
      <c r="D18" s="19" t="e">
        <f t="shared" si="3"/>
        <v>#REF!</v>
      </c>
      <c r="E18" s="19" t="e">
        <f t="shared" si="3"/>
        <v>#REF!</v>
      </c>
      <c r="F18" s="19" t="e">
        <f t="shared" si="3"/>
        <v>#REF!</v>
      </c>
      <c r="G18" s="19" t="e">
        <f t="shared" si="3"/>
        <v>#REF!</v>
      </c>
    </row>
    <row r="19" spans="1:7" hidden="1" x14ac:dyDescent="0.3"/>
    <row r="20" spans="1:7" hidden="1" x14ac:dyDescent="0.3">
      <c r="A20" s="3" t="s">
        <v>27</v>
      </c>
    </row>
    <row r="21" spans="1:7" hidden="1" x14ac:dyDescent="0.3">
      <c r="A21" s="6" t="s">
        <v>2</v>
      </c>
      <c r="B21" s="7">
        <v>1</v>
      </c>
      <c r="C21" s="7">
        <v>2</v>
      </c>
      <c r="D21" s="7">
        <v>3</v>
      </c>
      <c r="E21" s="7">
        <v>4</v>
      </c>
      <c r="F21" s="7">
        <v>5</v>
      </c>
      <c r="G21" s="7" t="s">
        <v>17</v>
      </c>
    </row>
    <row r="22" spans="1:7" hidden="1" x14ac:dyDescent="0.3">
      <c r="A22" s="4" t="s">
        <v>47</v>
      </c>
      <c r="B22" s="5" t="e">
        <f>Brazil!#REF!</f>
        <v>#REF!</v>
      </c>
      <c r="C22" s="5" t="e">
        <f>Brazil!#REF!</f>
        <v>#REF!</v>
      </c>
      <c r="D22" s="5" t="e">
        <f>Brazil!#REF!</f>
        <v>#REF!</v>
      </c>
      <c r="E22" s="5" t="e">
        <f>Brazil!#REF!</f>
        <v>#REF!</v>
      </c>
      <c r="F22" s="5" t="e">
        <f>Brazil!#REF!</f>
        <v>#REF!</v>
      </c>
      <c r="G22" s="5" t="e">
        <f>Brazil!#REF!</f>
        <v>#REF!</v>
      </c>
    </row>
    <row r="23" spans="1:7" hidden="1" x14ac:dyDescent="0.3">
      <c r="A23" s="4" t="s">
        <v>48</v>
      </c>
      <c r="B23" s="5" t="e">
        <f>Colombia!#REF!</f>
        <v>#REF!</v>
      </c>
      <c r="C23" s="5" t="e">
        <f>Colombia!#REF!</f>
        <v>#REF!</v>
      </c>
      <c r="D23" s="5" t="e">
        <f>Colombia!#REF!</f>
        <v>#REF!</v>
      </c>
      <c r="E23" s="5" t="e">
        <f>Colombia!#REF!</f>
        <v>#REF!</v>
      </c>
      <c r="F23" s="5" t="e">
        <f>Colombia!#REF!</f>
        <v>#REF!</v>
      </c>
      <c r="G23" s="5" t="e">
        <f>Colombia!#REF!</f>
        <v>#REF!</v>
      </c>
    </row>
    <row r="24" spans="1:7" hidden="1" x14ac:dyDescent="0.3">
      <c r="A24" s="4" t="s">
        <v>50</v>
      </c>
      <c r="B24" s="5" t="e">
        <f>Mexico!#REF!</f>
        <v>#REF!</v>
      </c>
      <c r="C24" s="5" t="e">
        <f>Mexico!#REF!</f>
        <v>#REF!</v>
      </c>
      <c r="D24" s="5" t="e">
        <f>Mexico!#REF!</f>
        <v>#REF!</v>
      </c>
      <c r="E24" s="5" t="e">
        <f>Mexico!#REF!</f>
        <v>#REF!</v>
      </c>
      <c r="F24" s="5" t="e">
        <f>Mexico!#REF!</f>
        <v>#REF!</v>
      </c>
      <c r="G24" s="5" t="e">
        <f>Mexico!#REF!</f>
        <v>#REF!</v>
      </c>
    </row>
    <row r="25" spans="1:7" hidden="1" x14ac:dyDescent="0.3">
      <c r="A25" s="4" t="s">
        <v>71</v>
      </c>
      <c r="B25" s="5" t="e">
        <f>Peru!#REF!</f>
        <v>#REF!</v>
      </c>
      <c r="C25" s="5" t="e">
        <f>Peru!#REF!</f>
        <v>#REF!</v>
      </c>
      <c r="D25" s="5" t="e">
        <f>Peru!#REF!</f>
        <v>#REF!</v>
      </c>
      <c r="E25" s="5" t="e">
        <f>Peru!#REF!</f>
        <v>#REF!</v>
      </c>
      <c r="F25" s="5" t="e">
        <f>Peru!#REF!</f>
        <v>#REF!</v>
      </c>
      <c r="G25" s="5" t="e">
        <f>Peru!#REF!</f>
        <v>#REF!</v>
      </c>
    </row>
    <row r="26" spans="1:7" hidden="1" x14ac:dyDescent="0.3">
      <c r="A26" s="18" t="s">
        <v>17</v>
      </c>
      <c r="B26" s="19" t="e">
        <f t="shared" ref="B26:G26" si="4">SUM(B22:B25)</f>
        <v>#REF!</v>
      </c>
      <c r="C26" s="19" t="e">
        <f t="shared" si="4"/>
        <v>#REF!</v>
      </c>
      <c r="D26" s="19" t="e">
        <f t="shared" si="4"/>
        <v>#REF!</v>
      </c>
      <c r="E26" s="19" t="e">
        <f t="shared" si="4"/>
        <v>#REF!</v>
      </c>
      <c r="F26" s="19" t="e">
        <f t="shared" si="4"/>
        <v>#REF!</v>
      </c>
      <c r="G26" s="19" t="e">
        <f t="shared" si="4"/>
        <v>#REF!</v>
      </c>
    </row>
    <row r="27" spans="1:7" hidden="1" x14ac:dyDescent="0.3">
      <c r="A27" s="3"/>
      <c r="B27" s="24"/>
      <c r="C27" s="24"/>
      <c r="D27" s="24"/>
      <c r="E27" s="24"/>
      <c r="F27" s="24"/>
      <c r="G27" s="24"/>
    </row>
    <row r="28" spans="1:7" hidden="1" x14ac:dyDescent="0.3">
      <c r="A28" s="3" t="s">
        <v>344</v>
      </c>
    </row>
    <row r="29" spans="1:7" hidden="1" x14ac:dyDescent="0.3">
      <c r="A29" s="6" t="s">
        <v>2</v>
      </c>
      <c r="B29" s="7">
        <v>1</v>
      </c>
      <c r="C29" s="7">
        <v>2</v>
      </c>
      <c r="D29" s="7">
        <v>3</v>
      </c>
      <c r="E29" s="7">
        <v>4</v>
      </c>
      <c r="F29" s="7">
        <v>5</v>
      </c>
      <c r="G29" s="7" t="s">
        <v>17</v>
      </c>
    </row>
    <row r="30" spans="1:7" hidden="1" x14ac:dyDescent="0.3">
      <c r="A30" s="4" t="s">
        <v>47</v>
      </c>
      <c r="B30" s="5" t="e">
        <f>Brazil!#REF!+Brazil!#REF!</f>
        <v>#REF!</v>
      </c>
      <c r="C30" s="5" t="e">
        <f>Brazil!#REF!+Brazil!#REF!</f>
        <v>#REF!</v>
      </c>
      <c r="D30" s="5" t="e">
        <f>Brazil!#REF!+Brazil!#REF!</f>
        <v>#REF!</v>
      </c>
      <c r="E30" s="5" t="e">
        <f>Brazil!#REF!+Brazil!#REF!</f>
        <v>#REF!</v>
      </c>
      <c r="F30" s="5" t="e">
        <f>Brazil!#REF!+Brazil!#REF!</f>
        <v>#REF!</v>
      </c>
      <c r="G30" s="5" t="e">
        <f>SUM(B30:F30)</f>
        <v>#REF!</v>
      </c>
    </row>
    <row r="31" spans="1:7" hidden="1" x14ac:dyDescent="0.3">
      <c r="A31" s="4" t="s">
        <v>48</v>
      </c>
      <c r="B31" s="5" t="e">
        <f>Colombia!#REF!+Colombia!#REF!</f>
        <v>#REF!</v>
      </c>
      <c r="C31" s="5" t="e">
        <f>Colombia!#REF!+Colombia!#REF!</f>
        <v>#REF!</v>
      </c>
      <c r="D31" s="5" t="e">
        <f>Colombia!#REF!+Colombia!#REF!</f>
        <v>#REF!</v>
      </c>
      <c r="E31" s="5" t="e">
        <f>Colombia!#REF!+Colombia!#REF!</f>
        <v>#REF!</v>
      </c>
      <c r="F31" s="5" t="e">
        <f>Colombia!#REF!+Colombia!#REF!</f>
        <v>#REF!</v>
      </c>
      <c r="G31" s="5" t="e">
        <f t="shared" ref="G31:G33" si="5">SUM(B31:F31)</f>
        <v>#REF!</v>
      </c>
    </row>
    <row r="32" spans="1:7" hidden="1" x14ac:dyDescent="0.3">
      <c r="A32" s="4" t="s">
        <v>50</v>
      </c>
      <c r="B32" s="5" t="e">
        <f>Mexico!#REF!</f>
        <v>#REF!</v>
      </c>
      <c r="C32" s="5" t="e">
        <f>Mexico!#REF!</f>
        <v>#REF!</v>
      </c>
      <c r="D32" s="5" t="e">
        <f>Mexico!#REF!</f>
        <v>#REF!</v>
      </c>
      <c r="E32" s="5" t="e">
        <f>Mexico!#REF!</f>
        <v>#REF!</v>
      </c>
      <c r="F32" s="5" t="e">
        <f>Mexico!#REF!</f>
        <v>#REF!</v>
      </c>
      <c r="G32" s="5" t="e">
        <f t="shared" si="5"/>
        <v>#REF!</v>
      </c>
    </row>
    <row r="33" spans="1:12" hidden="1" x14ac:dyDescent="0.3">
      <c r="A33" s="4" t="s">
        <v>71</v>
      </c>
      <c r="B33" s="5" t="e">
        <f>Peru!#REF!</f>
        <v>#REF!</v>
      </c>
      <c r="C33" s="5" t="e">
        <f>Peru!#REF!</f>
        <v>#REF!</v>
      </c>
      <c r="D33" s="5" t="e">
        <f>Peru!#REF!</f>
        <v>#REF!</v>
      </c>
      <c r="E33" s="5" t="e">
        <f>Peru!#REF!</f>
        <v>#REF!</v>
      </c>
      <c r="F33" s="5" t="e">
        <f>Peru!#REF!</f>
        <v>#REF!</v>
      </c>
      <c r="G33" s="5" t="e">
        <f t="shared" si="5"/>
        <v>#REF!</v>
      </c>
    </row>
    <row r="34" spans="1:12" hidden="1" x14ac:dyDescent="0.3">
      <c r="A34" s="18" t="s">
        <v>17</v>
      </c>
      <c r="B34" s="19" t="e">
        <f t="shared" ref="B34:G34" si="6">SUM(B30:B33)</f>
        <v>#REF!</v>
      </c>
      <c r="C34" s="19" t="e">
        <f t="shared" si="6"/>
        <v>#REF!</v>
      </c>
      <c r="D34" s="19" t="e">
        <f t="shared" si="6"/>
        <v>#REF!</v>
      </c>
      <c r="E34" s="19" t="e">
        <f t="shared" si="6"/>
        <v>#REF!</v>
      </c>
      <c r="F34" s="19" t="e">
        <f t="shared" si="6"/>
        <v>#REF!</v>
      </c>
      <c r="G34" s="19" t="e">
        <f t="shared" si="6"/>
        <v>#REF!</v>
      </c>
    </row>
    <row r="35" spans="1:12" hidden="1" x14ac:dyDescent="0.3">
      <c r="A35" s="3"/>
      <c r="B35" s="24"/>
      <c r="C35" s="24"/>
      <c r="D35" s="24"/>
      <c r="E35" s="24"/>
      <c r="F35" s="24"/>
      <c r="G35" s="24"/>
    </row>
    <row r="36" spans="1:12" hidden="1" x14ac:dyDescent="0.3">
      <c r="A36" s="3" t="s">
        <v>345</v>
      </c>
    </row>
    <row r="37" spans="1:12" hidden="1" x14ac:dyDescent="0.3">
      <c r="A37" s="6" t="s">
        <v>2</v>
      </c>
      <c r="B37" s="7">
        <v>1</v>
      </c>
      <c r="C37" s="7">
        <v>2</v>
      </c>
      <c r="D37" s="7">
        <v>3</v>
      </c>
      <c r="E37" s="7">
        <v>4</v>
      </c>
      <c r="F37" s="7">
        <v>5</v>
      </c>
      <c r="G37" s="7" t="s">
        <v>17</v>
      </c>
    </row>
    <row r="38" spans="1:12" hidden="1" x14ac:dyDescent="0.3">
      <c r="A38" s="4" t="s">
        <v>47</v>
      </c>
      <c r="B38" s="5" t="e">
        <f>Brazil!#REF!+Brazil!#REF!</f>
        <v>#REF!</v>
      </c>
      <c r="C38" s="5" t="e">
        <f>Brazil!#REF!+Brazil!#REF!</f>
        <v>#REF!</v>
      </c>
      <c r="D38" s="5" t="e">
        <f>Brazil!#REF!+Brazil!#REF!</f>
        <v>#REF!</v>
      </c>
      <c r="E38" s="5" t="e">
        <f>Brazil!#REF!+Brazil!#REF!</f>
        <v>#REF!</v>
      </c>
      <c r="F38" s="5" t="e">
        <f>Brazil!#REF!+Brazil!#REF!</f>
        <v>#REF!</v>
      </c>
      <c r="G38" s="5" t="e">
        <f>SUM(B38:F38)</f>
        <v>#REF!</v>
      </c>
    </row>
    <row r="39" spans="1:12" hidden="1" x14ac:dyDescent="0.3">
      <c r="A39" s="4" t="s">
        <v>48</v>
      </c>
      <c r="B39" s="5" t="e">
        <f>Colombia!#REF!+Colombia!#REF!</f>
        <v>#REF!</v>
      </c>
      <c r="C39" s="5" t="e">
        <f>Colombia!#REF!+Colombia!#REF!</f>
        <v>#REF!</v>
      </c>
      <c r="D39" s="5" t="e">
        <f>Colombia!#REF!+Colombia!#REF!</f>
        <v>#REF!</v>
      </c>
      <c r="E39" s="5" t="e">
        <f>Colombia!#REF!+Colombia!#REF!</f>
        <v>#REF!</v>
      </c>
      <c r="F39" s="5" t="e">
        <f>Colombia!#REF!+Colombia!#REF!</f>
        <v>#REF!</v>
      </c>
      <c r="G39" s="5" t="e">
        <f t="shared" ref="G39:G41" si="7">SUM(B39:F39)</f>
        <v>#REF!</v>
      </c>
    </row>
    <row r="40" spans="1:12" hidden="1" x14ac:dyDescent="0.3">
      <c r="A40" s="4" t="s">
        <v>50</v>
      </c>
      <c r="B40" s="5" t="e">
        <f>Mexico!#REF!</f>
        <v>#REF!</v>
      </c>
      <c r="C40" s="5" t="e">
        <f>Mexico!#REF!</f>
        <v>#REF!</v>
      </c>
      <c r="D40" s="5" t="e">
        <f>Mexico!#REF!</f>
        <v>#REF!</v>
      </c>
      <c r="E40" s="5" t="e">
        <f>Mexico!#REF!</f>
        <v>#REF!</v>
      </c>
      <c r="F40" s="5" t="e">
        <f>Mexico!#REF!</f>
        <v>#REF!</v>
      </c>
      <c r="G40" s="5" t="e">
        <f t="shared" si="7"/>
        <v>#REF!</v>
      </c>
    </row>
    <row r="41" spans="1:12" hidden="1" x14ac:dyDescent="0.3">
      <c r="A41" s="4" t="s">
        <v>71</v>
      </c>
      <c r="B41" s="5" t="e">
        <f>Peru!#REF!</f>
        <v>#REF!</v>
      </c>
      <c r="C41" s="5" t="e">
        <f>Peru!#REF!</f>
        <v>#REF!</v>
      </c>
      <c r="D41" s="5" t="e">
        <f>Peru!#REF!</f>
        <v>#REF!</v>
      </c>
      <c r="E41" s="5" t="e">
        <f>Peru!#REF!</f>
        <v>#REF!</v>
      </c>
      <c r="F41" s="5" t="e">
        <f>Peru!#REF!</f>
        <v>#REF!</v>
      </c>
      <c r="G41" s="5" t="e">
        <f t="shared" si="7"/>
        <v>#REF!</v>
      </c>
    </row>
    <row r="42" spans="1:12" hidden="1" x14ac:dyDescent="0.3">
      <c r="A42" s="18" t="s">
        <v>17</v>
      </c>
      <c r="B42" s="19" t="e">
        <f t="shared" ref="B42:G42" si="8">SUM(B38:B41)</f>
        <v>#REF!</v>
      </c>
      <c r="C42" s="19" t="e">
        <f t="shared" si="8"/>
        <v>#REF!</v>
      </c>
      <c r="D42" s="19" t="e">
        <f t="shared" si="8"/>
        <v>#REF!</v>
      </c>
      <c r="E42" s="19" t="e">
        <f t="shared" si="8"/>
        <v>#REF!</v>
      </c>
      <c r="F42" s="19" t="e">
        <f t="shared" si="8"/>
        <v>#REF!</v>
      </c>
      <c r="G42" s="19" t="e">
        <f t="shared" si="8"/>
        <v>#REF!</v>
      </c>
    </row>
    <row r="43" spans="1:12" hidden="1" x14ac:dyDescent="0.3"/>
    <row r="44" spans="1:12" hidden="1" x14ac:dyDescent="0.3">
      <c r="G44" s="43"/>
    </row>
    <row r="45" spans="1:12" hidden="1" x14ac:dyDescent="0.3">
      <c r="A45" s="3" t="s">
        <v>51</v>
      </c>
      <c r="F45" s="128"/>
      <c r="G45" s="128"/>
      <c r="H45" s="128"/>
      <c r="J45" s="128"/>
      <c r="K45" s="128"/>
      <c r="L45" s="128"/>
    </row>
    <row r="46" spans="1:12" hidden="1" x14ac:dyDescent="0.3">
      <c r="A46" s="6" t="s">
        <v>2</v>
      </c>
      <c r="B46" s="7" t="s">
        <v>52</v>
      </c>
      <c r="C46" s="7" t="s">
        <v>123</v>
      </c>
      <c r="F46" s="25"/>
      <c r="G46" s="25"/>
      <c r="H46" s="25"/>
      <c r="J46" s="25"/>
      <c r="K46" s="25"/>
      <c r="L46" s="25"/>
    </row>
    <row r="47" spans="1:12" hidden="1" x14ac:dyDescent="0.3">
      <c r="A47" s="4" t="s">
        <v>32</v>
      </c>
      <c r="B47" s="5" t="e">
        <f>G10</f>
        <v>#REF!</v>
      </c>
      <c r="C47" s="76" t="e">
        <f t="shared" ref="C47:C59" si="9">B47/1.2</f>
        <v>#REF!</v>
      </c>
      <c r="D47" s="131"/>
      <c r="E47" s="73"/>
      <c r="F47" s="13"/>
      <c r="G47" s="8"/>
      <c r="H47" s="8"/>
      <c r="J47" s="74"/>
      <c r="K47" s="74"/>
      <c r="L47" s="74"/>
    </row>
    <row r="48" spans="1:12" hidden="1" x14ac:dyDescent="0.3">
      <c r="A48" s="4" t="s">
        <v>291</v>
      </c>
      <c r="B48" s="5">
        <f>C48*1.2</f>
        <v>51.104400000000005</v>
      </c>
      <c r="C48" s="76">
        <v>42.587000000000003</v>
      </c>
      <c r="D48" s="131"/>
      <c r="E48" s="73"/>
      <c r="F48" s="13"/>
      <c r="G48" s="8"/>
      <c r="H48" s="8"/>
      <c r="J48" s="74"/>
      <c r="K48" s="74"/>
      <c r="L48" s="74"/>
    </row>
    <row r="49" spans="1:18" hidden="1" x14ac:dyDescent="0.3">
      <c r="A49" s="18" t="s">
        <v>292</v>
      </c>
      <c r="B49" s="19" t="e">
        <f>B47+B48</f>
        <v>#REF!</v>
      </c>
      <c r="C49" s="19" t="e">
        <f>C47+C48</f>
        <v>#REF!</v>
      </c>
      <c r="D49" s="131"/>
      <c r="E49" s="73"/>
      <c r="F49" s="13"/>
      <c r="G49" s="8"/>
      <c r="H49" s="8"/>
      <c r="J49" s="74"/>
      <c r="K49" s="74"/>
      <c r="L49" s="74"/>
    </row>
    <row r="50" spans="1:18" hidden="1" x14ac:dyDescent="0.3">
      <c r="A50" s="101" t="s">
        <v>290</v>
      </c>
      <c r="B50" s="102" t="e">
        <f>G18</f>
        <v>#REF!</v>
      </c>
      <c r="C50" s="103" t="e">
        <f>B50/1.2</f>
        <v>#REF!</v>
      </c>
      <c r="D50" s="131"/>
      <c r="E50" s="73"/>
      <c r="F50" s="13"/>
      <c r="G50" s="8"/>
      <c r="H50" s="8"/>
      <c r="J50" s="74"/>
      <c r="K50" s="74"/>
      <c r="L50" s="74"/>
    </row>
    <row r="51" spans="1:18" hidden="1" x14ac:dyDescent="0.3">
      <c r="A51" s="101" t="s">
        <v>27</v>
      </c>
      <c r="B51" s="102" t="e">
        <f>G26</f>
        <v>#REF!</v>
      </c>
      <c r="C51" s="103" t="e">
        <f t="shared" si="9"/>
        <v>#REF!</v>
      </c>
      <c r="D51" s="131"/>
      <c r="E51" s="73"/>
      <c r="F51" s="13"/>
      <c r="G51" s="8"/>
      <c r="H51" s="8"/>
      <c r="J51" s="74"/>
      <c r="K51" s="74"/>
      <c r="L51" s="74"/>
    </row>
    <row r="52" spans="1:18" hidden="1" x14ac:dyDescent="0.3">
      <c r="A52" s="101" t="s">
        <v>28</v>
      </c>
      <c r="B52" s="102">
        <f>1.2*C52</f>
        <v>28.799999999999997</v>
      </c>
      <c r="C52" s="107">
        <v>24</v>
      </c>
      <c r="D52" s="131"/>
      <c r="E52" s="73"/>
      <c r="F52" s="13"/>
      <c r="G52" s="13"/>
      <c r="H52" s="13"/>
      <c r="J52" s="75"/>
      <c r="K52" s="75"/>
      <c r="L52" s="75"/>
    </row>
    <row r="53" spans="1:18" hidden="1" x14ac:dyDescent="0.3">
      <c r="A53" s="104" t="s">
        <v>29</v>
      </c>
      <c r="B53" s="105" t="e">
        <f>SUM(B50:B52)</f>
        <v>#REF!</v>
      </c>
      <c r="C53" s="106" t="e">
        <f t="shared" si="9"/>
        <v>#REF!</v>
      </c>
      <c r="D53" s="131"/>
      <c r="E53" s="73"/>
      <c r="F53" s="13"/>
      <c r="G53" s="13"/>
      <c r="H53" s="8"/>
      <c r="J53" s="74"/>
      <c r="K53" s="74"/>
      <c r="L53" s="74"/>
    </row>
    <row r="54" spans="1:18" hidden="1" x14ac:dyDescent="0.3">
      <c r="A54" s="109" t="s">
        <v>293</v>
      </c>
      <c r="B54" s="110" t="e">
        <f>G34</f>
        <v>#REF!</v>
      </c>
      <c r="C54" s="111" t="e">
        <f>B54/1.2</f>
        <v>#REF!</v>
      </c>
      <c r="D54" s="71"/>
      <c r="E54" s="73"/>
      <c r="F54" s="13"/>
      <c r="G54" s="13"/>
      <c r="H54" s="8"/>
      <c r="J54" s="74"/>
      <c r="K54" s="74"/>
      <c r="L54" s="74"/>
    </row>
    <row r="55" spans="1:18" hidden="1" x14ac:dyDescent="0.3">
      <c r="A55" s="109" t="s">
        <v>294</v>
      </c>
      <c r="B55" s="110">
        <f>1.2*C55</f>
        <v>22.8</v>
      </c>
      <c r="C55" s="111">
        <v>19</v>
      </c>
      <c r="D55" s="108"/>
      <c r="E55" s="73"/>
      <c r="F55" s="13"/>
      <c r="G55" s="13"/>
      <c r="H55" s="8"/>
      <c r="J55" s="74"/>
      <c r="K55" s="74"/>
      <c r="L55" s="74"/>
    </row>
    <row r="56" spans="1:18" hidden="1" x14ac:dyDescent="0.3">
      <c r="A56" s="112" t="s">
        <v>295</v>
      </c>
      <c r="B56" s="113" t="e">
        <f>SUM(B54:B55)</f>
        <v>#REF!</v>
      </c>
      <c r="C56" s="113" t="e">
        <f>SUM(C54:C55)</f>
        <v>#REF!</v>
      </c>
      <c r="D56" s="71"/>
      <c r="E56" s="73"/>
      <c r="F56" s="13"/>
      <c r="G56" s="13"/>
      <c r="H56" s="8"/>
      <c r="J56" s="74"/>
      <c r="K56" s="74"/>
      <c r="L56" s="74"/>
    </row>
    <row r="57" spans="1:18" hidden="1" x14ac:dyDescent="0.3">
      <c r="A57" s="18" t="s">
        <v>296</v>
      </c>
      <c r="B57" s="19" t="e">
        <f>G42</f>
        <v>#REF!</v>
      </c>
      <c r="C57" s="19" t="e">
        <f>B57/1.2</f>
        <v>#REF!</v>
      </c>
      <c r="D57" s="71"/>
      <c r="E57" s="73"/>
      <c r="F57" s="13"/>
      <c r="G57" s="13"/>
      <c r="H57" s="8"/>
      <c r="J57" s="74"/>
      <c r="K57" s="74"/>
      <c r="L57" s="74"/>
    </row>
    <row r="58" spans="1:18" hidden="1" x14ac:dyDescent="0.3">
      <c r="A58" s="114" t="s">
        <v>297</v>
      </c>
      <c r="B58" s="115" t="e">
        <f>B57</f>
        <v>#REF!</v>
      </c>
      <c r="C58" s="115" t="e">
        <f>C57</f>
        <v>#REF!</v>
      </c>
      <c r="D58" s="71"/>
      <c r="E58" s="117"/>
      <c r="F58" s="13"/>
      <c r="G58" s="13"/>
      <c r="H58" s="8"/>
      <c r="J58" s="74"/>
      <c r="K58" s="74"/>
      <c r="L58" s="74"/>
    </row>
    <row r="59" spans="1:18" hidden="1" x14ac:dyDescent="0.3">
      <c r="A59" s="31" t="s">
        <v>298</v>
      </c>
      <c r="B59" s="33" t="e">
        <f>B58+B56</f>
        <v>#REF!</v>
      </c>
      <c r="C59" s="77" t="e">
        <f t="shared" si="9"/>
        <v>#REF!</v>
      </c>
      <c r="D59" s="71"/>
    </row>
    <row r="60" spans="1:18" hidden="1" x14ac:dyDescent="0.3">
      <c r="A60" s="31" t="s">
        <v>30</v>
      </c>
      <c r="B60" s="30" t="e">
        <f>B59/B49</f>
        <v>#REF!</v>
      </c>
      <c r="C60" s="30" t="e">
        <f>C59/C49</f>
        <v>#REF!</v>
      </c>
      <c r="D60" s="71"/>
    </row>
    <row r="61" spans="1:18" hidden="1" x14ac:dyDescent="0.3">
      <c r="A61" s="31" t="s">
        <v>130</v>
      </c>
      <c r="B61" s="72" t="e">
        <f>B59/B53</f>
        <v>#REF!</v>
      </c>
      <c r="C61" s="72" t="e">
        <f>C59/C53</f>
        <v>#REF!</v>
      </c>
      <c r="D61" s="71"/>
    </row>
    <row r="62" spans="1:18" hidden="1" x14ac:dyDescent="0.3">
      <c r="A62" s="31" t="s">
        <v>131</v>
      </c>
      <c r="B62" s="72" t="e">
        <f>B59/B53</f>
        <v>#REF!</v>
      </c>
      <c r="C62" s="72" t="e">
        <f>C59/C53</f>
        <v>#REF!</v>
      </c>
      <c r="D62" s="71"/>
    </row>
    <row r="63" spans="1:18" hidden="1" x14ac:dyDescent="0.3">
      <c r="B63" s="69"/>
      <c r="C63" s="68"/>
      <c r="J63" s="8"/>
      <c r="K63" s="8"/>
      <c r="L63" s="8"/>
      <c r="M63" s="8"/>
      <c r="N63" s="8"/>
      <c r="O63" s="8"/>
      <c r="P63" s="8"/>
      <c r="Q63" s="8"/>
      <c r="R63" s="8"/>
    </row>
    <row r="64" spans="1:18" x14ac:dyDescent="0.3">
      <c r="A64" s="3" t="s">
        <v>53</v>
      </c>
      <c r="B64" s="2"/>
      <c r="C64" s="2"/>
      <c r="D64" s="2"/>
      <c r="F64" s="129"/>
      <c r="G64" s="129"/>
      <c r="J64" s="8"/>
      <c r="K64" s="8"/>
      <c r="L64" s="8"/>
      <c r="M64" s="8"/>
      <c r="N64" s="8"/>
      <c r="O64" s="8"/>
      <c r="P64" s="8"/>
      <c r="Q64" s="8"/>
      <c r="R64" s="8"/>
    </row>
    <row r="65" spans="1:18" x14ac:dyDescent="0.3">
      <c r="A65" s="6" t="s">
        <v>2</v>
      </c>
      <c r="B65" s="7" t="s">
        <v>33</v>
      </c>
      <c r="C65" s="25"/>
      <c r="D65" s="25"/>
      <c r="F65" s="25"/>
      <c r="G65" s="25"/>
      <c r="I65" s="78"/>
      <c r="J65" s="8"/>
      <c r="K65" s="8"/>
      <c r="L65" s="8"/>
      <c r="M65" s="8"/>
      <c r="N65" s="8"/>
      <c r="O65" s="8"/>
      <c r="P65" s="8"/>
      <c r="Q65" s="8"/>
      <c r="R65" s="8"/>
    </row>
    <row r="66" spans="1:18" x14ac:dyDescent="0.3">
      <c r="A66" s="4" t="s">
        <v>34</v>
      </c>
      <c r="B66" s="5">
        <f>Brazil!I39+Colombia!I40+Mexico!I33+Peru!I31</f>
        <v>4334051.0881653624</v>
      </c>
      <c r="C66" s="8"/>
      <c r="D66" s="8"/>
      <c r="F66" s="8"/>
      <c r="G66" s="8"/>
      <c r="I66" s="78"/>
      <c r="J66" s="8"/>
      <c r="K66" s="8"/>
      <c r="L66" s="8"/>
      <c r="M66" s="8"/>
      <c r="N66" s="8"/>
      <c r="O66" s="8"/>
      <c r="P66" s="8"/>
      <c r="Q66" s="8"/>
      <c r="R66" s="8"/>
    </row>
    <row r="67" spans="1:18" ht="15.6" x14ac:dyDescent="0.35">
      <c r="A67" s="4" t="s">
        <v>120</v>
      </c>
      <c r="B67" s="5">
        <f>Brazil!I40+Colombia!I41+Mexico!I34+Peru!I32</f>
        <v>41.269055519999995</v>
      </c>
      <c r="C67" s="8"/>
      <c r="D67" s="8"/>
      <c r="J67" s="8"/>
      <c r="K67" s="8"/>
      <c r="L67" s="8"/>
      <c r="M67" s="8"/>
      <c r="N67" s="8"/>
      <c r="O67" s="8"/>
      <c r="P67" s="8"/>
      <c r="Q67" s="8"/>
      <c r="R67" s="8"/>
    </row>
    <row r="68" spans="1:18" ht="15.6" x14ac:dyDescent="0.35">
      <c r="A68" s="4" t="s">
        <v>121</v>
      </c>
      <c r="B68" s="5">
        <f>Brazil!I41+Colombia!I42+Mexico!I35+Peru!I33</f>
        <v>4841.5212320000001</v>
      </c>
      <c r="C68" s="8"/>
      <c r="D68" s="8"/>
      <c r="J68" s="8"/>
      <c r="K68" s="8"/>
      <c r="L68" s="8"/>
      <c r="M68" s="8"/>
      <c r="N68" s="8"/>
      <c r="O68" s="8"/>
      <c r="P68" s="8"/>
      <c r="Q68" s="8"/>
      <c r="R68" s="8"/>
    </row>
    <row r="69" spans="1:18" x14ac:dyDescent="0.3">
      <c r="A69" s="4" t="s">
        <v>35</v>
      </c>
      <c r="B69" s="5">
        <f>Brazil!I42+Colombia!I43+Mexico!I36+Peru!I34</f>
        <v>48342.819622584691</v>
      </c>
      <c r="C69" s="8"/>
      <c r="D69" s="8"/>
      <c r="F69" s="130"/>
      <c r="G69" s="130"/>
      <c r="H69" s="79"/>
      <c r="J69" s="2"/>
      <c r="K69" s="8"/>
      <c r="L69" s="8"/>
      <c r="M69" s="8"/>
      <c r="N69" s="8"/>
      <c r="O69" s="8"/>
      <c r="P69" s="8"/>
      <c r="Q69" s="8"/>
      <c r="R69" s="8"/>
    </row>
    <row r="70" spans="1:18" hidden="1" x14ac:dyDescent="0.3">
      <c r="A70" s="31" t="s">
        <v>128</v>
      </c>
      <c r="B70" s="118" t="e">
        <f>B53/B66*10^6</f>
        <v>#REF!</v>
      </c>
      <c r="C70" s="25"/>
      <c r="D70" s="23"/>
      <c r="G70" s="80"/>
      <c r="H70" s="81"/>
      <c r="J70" s="2"/>
      <c r="K70" s="8"/>
      <c r="L70" s="8"/>
      <c r="M70" s="8"/>
      <c r="N70" s="8"/>
      <c r="O70" s="8"/>
      <c r="P70" s="8"/>
      <c r="Q70" s="8"/>
      <c r="R70" s="8"/>
    </row>
    <row r="71" spans="1:18" hidden="1" x14ac:dyDescent="0.3">
      <c r="A71" s="31" t="s">
        <v>129</v>
      </c>
      <c r="B71" s="118" t="e">
        <f>B70/1.2</f>
        <v>#REF!</v>
      </c>
      <c r="C71" s="25"/>
      <c r="D71" s="23"/>
      <c r="G71" s="80"/>
      <c r="H71" s="81"/>
    </row>
    <row r="72" spans="1:18" x14ac:dyDescent="0.3">
      <c r="A72" s="37"/>
      <c r="B72" s="23"/>
      <c r="C72" s="25"/>
      <c r="D72" s="23"/>
    </row>
    <row r="73" spans="1:18" x14ac:dyDescent="0.3">
      <c r="A73" s="3"/>
      <c r="B73" s="23"/>
      <c r="C73" s="25"/>
      <c r="D73" s="23"/>
    </row>
    <row r="74" spans="1:18" x14ac:dyDescent="0.3">
      <c r="A74" s="6" t="s">
        <v>346</v>
      </c>
      <c r="B74" s="7" t="s">
        <v>347</v>
      </c>
      <c r="C74" s="7" t="s">
        <v>377</v>
      </c>
      <c r="D74" s="123" t="s">
        <v>348</v>
      </c>
      <c r="E74" s="7" t="s">
        <v>349</v>
      </c>
      <c r="F74" s="25"/>
    </row>
    <row r="75" spans="1:18" x14ac:dyDescent="0.3">
      <c r="A75" s="4" t="s">
        <v>332</v>
      </c>
      <c r="B75" s="5">
        <f>SUM(Brazil!B39:D39)+SUM(Colombia!B40:D40)+SUM(Mexico!B33:D33)+SUM(Peru!B31:D31)</f>
        <v>104275.26192623859</v>
      </c>
      <c r="C75" s="170">
        <f>SUM(Brazil!B39:H39)+SUM(Colombia!B40:H40)+SUM(Mexico!B33:H33)+SUM(Peru!B31:H31)</f>
        <v>789071.75227947056</v>
      </c>
      <c r="D75" s="124">
        <f>B66</f>
        <v>4334051.0881653624</v>
      </c>
      <c r="E75" s="5">
        <f>Brazil!B32+Brazil!R26/Brazil!B11+Colombia!B33+Colombia!Q27/Colombia!B11+Mexico!Q28/Mexico!B11+Peru!N19/Peru!B11</f>
        <v>183811.59849669246</v>
      </c>
      <c r="F75" s="8"/>
    </row>
    <row r="76" spans="1:18" x14ac:dyDescent="0.3">
      <c r="A76" s="4" t="s">
        <v>333</v>
      </c>
      <c r="B76" s="5">
        <f>SUM(Brazil!B40:D40)+SUM(Colombia!B41:D41)+SUM(Mexico!B34:D34)+SUM(Peru!B32:D32)</f>
        <v>2.7458461799999996</v>
      </c>
      <c r="C76" s="170">
        <f>SUM(Brazil!B40:H40)+SUM(Colombia!B41:H41)+SUM(Mexico!B34:H34)+SUM(Peru!B32:H32)</f>
        <v>12.308608620000001</v>
      </c>
      <c r="D76" s="124">
        <f t="shared" ref="D76:D78" si="10">B67</f>
        <v>41.269055519999995</v>
      </c>
      <c r="E76" s="5">
        <f>D76/16</f>
        <v>2.5793159699999997</v>
      </c>
      <c r="F76" s="8"/>
    </row>
    <row r="77" spans="1:18" x14ac:dyDescent="0.3">
      <c r="A77" s="4" t="s">
        <v>334</v>
      </c>
      <c r="B77" s="5">
        <f>SUM(Brazil!B41:D41)+SUM(Colombia!B42:D42)+SUM(Mexico!B35:D35)+SUM(Peru!B33:D33)</f>
        <v>322.13173800000004</v>
      </c>
      <c r="C77" s="170">
        <f>SUM(Brazil!B41:H41)+SUM(Colombia!B42:H42)+SUM(Mexico!B35:H35)+SUM(Peru!B33:H33)</f>
        <v>1443.9969419999998</v>
      </c>
      <c r="D77" s="124">
        <f t="shared" si="10"/>
        <v>4841.5212320000001</v>
      </c>
      <c r="E77" s="5">
        <f>D77/16</f>
        <v>302.595077</v>
      </c>
      <c r="F77" s="8"/>
    </row>
    <row r="78" spans="1:18" x14ac:dyDescent="0.3">
      <c r="A78" s="4" t="s">
        <v>335</v>
      </c>
      <c r="B78" s="5">
        <f>SUM(Brazil!B42:D42)+SUM(Colombia!B43:D43)+SUM(Mexico!B36:D36)+SUM(Peru!B34:D34)</f>
        <v>3969.5037133662745</v>
      </c>
      <c r="C78" s="170">
        <f>SUM(Brazil!B42:H42)+SUM(Colombia!B43:H43)+SUM(Mexico!B36:H36)+SUM(Peru!B34:H34)</f>
        <v>12902.688150878294</v>
      </c>
      <c r="D78" s="124">
        <f t="shared" si="10"/>
        <v>48342.819622584691</v>
      </c>
      <c r="E78" s="5">
        <f>Brazil!Z26/Brazil!B11+Brazil!B34+Colombia!Z27/Colombia!B11+Colombia!B35+Mexico!Z28/Mexico!B11+Peru!W19/Peru!B11</f>
        <v>2233.2961093780054</v>
      </c>
      <c r="F78" s="8"/>
    </row>
    <row r="79" spans="1:18" x14ac:dyDescent="0.3">
      <c r="A79" s="4" t="s">
        <v>351</v>
      </c>
      <c r="B79" s="5">
        <f>Brazil!D26*Brazil!G26++Mexico!D28+Peru!B19</f>
        <v>572.4</v>
      </c>
      <c r="C79" s="170">
        <f>Brazil!D26*Brazil!G26+Colombia!D27*Colombia!G27+Mexico!D28+Peru!B19</f>
        <v>849.2</v>
      </c>
      <c r="D79" s="8"/>
      <c r="E79" s="8"/>
      <c r="F79" s="8"/>
    </row>
    <row r="80" spans="1:18" x14ac:dyDescent="0.3">
      <c r="A80" s="12" t="s">
        <v>350</v>
      </c>
    </row>
    <row r="82" spans="1:3" hidden="1" x14ac:dyDescent="0.3"/>
    <row r="83" spans="1:3" hidden="1" x14ac:dyDescent="0.3">
      <c r="A83" s="6" t="s">
        <v>352</v>
      </c>
      <c r="B83" s="7" t="s">
        <v>153</v>
      </c>
      <c r="C83" s="7" t="s">
        <v>355</v>
      </c>
    </row>
    <row r="84" spans="1:3" hidden="1" x14ac:dyDescent="0.3">
      <c r="A84" s="4" t="s">
        <v>353</v>
      </c>
      <c r="B84" s="22" t="e">
        <f>Brazil!#REF!+Colombia!#REF!</f>
        <v>#REF!</v>
      </c>
      <c r="C84" s="5" t="e">
        <f>B84/1.2</f>
        <v>#REF!</v>
      </c>
    </row>
    <row r="85" spans="1:3" hidden="1" x14ac:dyDescent="0.3">
      <c r="A85" s="4" t="s">
        <v>354</v>
      </c>
      <c r="B85" s="22" t="e">
        <f>Brazil!#REF!+Colombia!#REF!</f>
        <v>#REF!</v>
      </c>
      <c r="C85" s="5" t="e">
        <f t="shared" ref="C85:C87" si="11">B85/1.2</f>
        <v>#REF!</v>
      </c>
    </row>
    <row r="86" spans="1:3" hidden="1" x14ac:dyDescent="0.3">
      <c r="A86" s="4" t="s">
        <v>345</v>
      </c>
      <c r="B86" s="22" t="e">
        <f>Brazil!#REF!+Colombia!#REF!</f>
        <v>#REF!</v>
      </c>
      <c r="C86" s="5" t="e">
        <f t="shared" si="11"/>
        <v>#REF!</v>
      </c>
    </row>
    <row r="87" spans="1:3" hidden="1" x14ac:dyDescent="0.3">
      <c r="A87" s="4" t="s">
        <v>17</v>
      </c>
      <c r="B87" s="22" t="e">
        <f>SUM(B84:B86)</f>
        <v>#REF!</v>
      </c>
      <c r="C87" s="5" t="e">
        <f t="shared" si="11"/>
        <v>#REF!</v>
      </c>
    </row>
    <row r="88" spans="1:3" hidden="1" x14ac:dyDescent="0.3"/>
    <row r="89" spans="1:3" hidden="1" x14ac:dyDescent="0.3"/>
    <row r="90" spans="1:3" hidden="1" x14ac:dyDescent="0.3">
      <c r="A90" s="6" t="s">
        <v>356</v>
      </c>
      <c r="B90" s="7" t="s">
        <v>153</v>
      </c>
      <c r="C90" s="7" t="s">
        <v>355</v>
      </c>
    </row>
    <row r="91" spans="1:3" hidden="1" x14ac:dyDescent="0.3">
      <c r="A91" s="4" t="s">
        <v>353</v>
      </c>
      <c r="B91" s="22" t="e">
        <f>Brazil!#REF!+Colombia!#REF!+Mexico!#REF!+Peru!#REF!</f>
        <v>#REF!</v>
      </c>
      <c r="C91" s="5" t="e">
        <f>B91/1.2</f>
        <v>#REF!</v>
      </c>
    </row>
    <row r="92" spans="1:3" hidden="1" x14ac:dyDescent="0.3">
      <c r="A92" s="4" t="s">
        <v>354</v>
      </c>
      <c r="B92" s="22" t="e">
        <f>Brazil!#REF!+Colombia!#REF!+Mexico!#REF!+Peru!#REF!</f>
        <v>#REF!</v>
      </c>
      <c r="C92" s="5" t="e">
        <f t="shared" ref="C92:C94" si="12">B92/1.2</f>
        <v>#REF!</v>
      </c>
    </row>
    <row r="93" spans="1:3" hidden="1" x14ac:dyDescent="0.3">
      <c r="A93" s="4" t="s">
        <v>345</v>
      </c>
      <c r="B93" s="22" t="e">
        <f>Brazil!#REF!+Colombia!#REF!+Mexico!#REF!+Peru!#REF!</f>
        <v>#REF!</v>
      </c>
      <c r="C93" s="5" t="e">
        <f t="shared" si="12"/>
        <v>#REF!</v>
      </c>
    </row>
    <row r="94" spans="1:3" hidden="1" x14ac:dyDescent="0.3">
      <c r="A94" s="4" t="s">
        <v>17</v>
      </c>
      <c r="B94" s="22" t="e">
        <f>SUM(B91:B93)</f>
        <v>#REF!</v>
      </c>
      <c r="C94" s="5" t="e">
        <f t="shared" si="12"/>
        <v>#REF!</v>
      </c>
    </row>
    <row r="95" spans="1:3" hidden="1" x14ac:dyDescent="0.3"/>
    <row r="96" spans="1:3" hidden="1" x14ac:dyDescent="0.3"/>
    <row r="97" spans="1:28" hidden="1" x14ac:dyDescent="0.3"/>
    <row r="99" spans="1:28" x14ac:dyDescent="0.3">
      <c r="A99" s="3" t="s">
        <v>361</v>
      </c>
    </row>
    <row r="100" spans="1:28" x14ac:dyDescent="0.3">
      <c r="A100" s="7">
        <v>1</v>
      </c>
      <c r="B100" s="7">
        <v>2</v>
      </c>
      <c r="C100" s="7">
        <v>3</v>
      </c>
      <c r="D100" s="7">
        <v>4</v>
      </c>
      <c r="E100" s="7">
        <v>5</v>
      </c>
      <c r="F100" s="7">
        <v>6</v>
      </c>
      <c r="G100" s="7">
        <v>7</v>
      </c>
      <c r="H100" s="7">
        <v>8</v>
      </c>
      <c r="I100" s="7">
        <v>9</v>
      </c>
      <c r="J100" s="7">
        <v>10</v>
      </c>
      <c r="K100" s="7">
        <v>11</v>
      </c>
      <c r="L100" s="7">
        <v>12</v>
      </c>
      <c r="M100" s="7">
        <v>13</v>
      </c>
      <c r="N100" s="7">
        <v>14</v>
      </c>
      <c r="O100" s="7">
        <v>15</v>
      </c>
      <c r="P100" s="7">
        <v>16</v>
      </c>
      <c r="Q100" s="7">
        <v>17</v>
      </c>
      <c r="R100" s="7">
        <v>18</v>
      </c>
      <c r="S100" s="7">
        <v>19</v>
      </c>
      <c r="T100" s="7">
        <v>20</v>
      </c>
      <c r="U100" s="7">
        <v>21</v>
      </c>
      <c r="V100" s="7">
        <v>22</v>
      </c>
      <c r="W100" s="7">
        <v>23</v>
      </c>
      <c r="X100" s="7">
        <v>24</v>
      </c>
      <c r="Y100" s="7">
        <v>25</v>
      </c>
      <c r="Z100" s="7">
        <v>26</v>
      </c>
      <c r="AA100" s="7">
        <v>27</v>
      </c>
      <c r="AB100" s="6" t="s">
        <v>54</v>
      </c>
    </row>
    <row r="101" spans="1:28" x14ac:dyDescent="0.3">
      <c r="A101" s="10">
        <f>Brazil!A49+Colombia!A48+Mexico!A41+Peru!A39</f>
        <v>0</v>
      </c>
      <c r="B101" s="5">
        <f>Brazil!B49+Colombia!B48+Mexico!B41+Peru!B39</f>
        <v>27768.677057963832</v>
      </c>
      <c r="C101" s="5">
        <f>Brazil!C49+Colombia!C48+Mexico!C41+Peru!C39</f>
        <v>76506.584868274746</v>
      </c>
      <c r="D101" s="5">
        <f>Brazil!D49+Colombia!D48+Mexico!D41+Peru!D39</f>
        <v>76506.584868274746</v>
      </c>
      <c r="E101" s="5">
        <f>Brazil!E49+Colombia!E48+Mexico!E41+Peru!E39</f>
        <v>202763.30182831906</v>
      </c>
      <c r="F101" s="5">
        <f>Brazil!F49+Colombia!F48+Mexico!F41+Peru!F39</f>
        <v>202763.30182831906</v>
      </c>
      <c r="G101" s="5">
        <f>Brazil!G49+Colombia!G48+Mexico!G41+Peru!G39</f>
        <v>202763.30182831906</v>
      </c>
      <c r="H101" s="5">
        <f>Brazil!H49+Colombia!H48+Mexico!H41+Peru!H39</f>
        <v>202763.30182831906</v>
      </c>
      <c r="I101" s="5">
        <f>Brazil!I49+Colombia!I48+Mexico!I41+Peru!I39</f>
        <v>202763.30182831906</v>
      </c>
      <c r="J101" s="5">
        <f>Brazil!J49+Colombia!J48+Mexico!J41+Peru!J39</f>
        <v>202763.30182831906</v>
      </c>
      <c r="K101" s="5">
        <f>Brazil!K49+Colombia!K48+Mexico!K41+Peru!K39</f>
        <v>202763.30182831906</v>
      </c>
      <c r="L101" s="5">
        <f>Brazil!L49+Colombia!L48+Mexico!L41+Peru!L39</f>
        <v>202763.30182831906</v>
      </c>
      <c r="M101" s="5">
        <f>Brazil!M49+Colombia!M48+Mexico!M41+Peru!M39</f>
        <v>202763.30182831906</v>
      </c>
      <c r="N101" s="5">
        <f>Brazil!N49+Colombia!N48+Mexico!N41+Peru!N39</f>
        <v>202763.30182831906</v>
      </c>
      <c r="O101" s="5">
        <f>Brazil!O49+Colombia!O48+Mexico!O41+Peru!O39</f>
        <v>202763.30182831906</v>
      </c>
      <c r="P101" s="5">
        <f>Brazil!P49+Colombia!P48+Mexico!P41+Peru!P39</f>
        <v>202763.30182831906</v>
      </c>
      <c r="Q101" s="5">
        <f>Brazil!Q49+Colombia!Q48+Mexico!Q41+Peru!Q39</f>
        <v>202763.30182831906</v>
      </c>
      <c r="R101" s="5">
        <f>Brazil!R49+Colombia!R48+Mexico!R41+Peru!R39</f>
        <v>174994.62477035524</v>
      </c>
      <c r="S101" s="5">
        <f>Brazil!S49+Colombia!S48+Mexico!S41+Peru!S39</f>
        <v>140044.84321076632</v>
      </c>
      <c r="T101" s="5">
        <f>Brazil!T49+Colombia!T48+Mexico!T41+Peru!T39</f>
        <v>140044.84321076632</v>
      </c>
      <c r="U101" s="5">
        <f>Brazil!U49+Colombia!U48+Mexico!U41+Peru!U39</f>
        <v>121093.13987913972</v>
      </c>
      <c r="V101" s="5">
        <f>Brazil!V49+Colombia!V48+Mexico!V41+Peru!V39</f>
        <v>121093.13987913972</v>
      </c>
      <c r="W101" s="5">
        <f>Brazil!W49+Colombia!W48+Mexico!W41+Peru!W39</f>
        <v>121093.13987913972</v>
      </c>
      <c r="X101" s="5">
        <f>Brazil!X49+Colombia!X48+Mexico!X41+Peru!X39</f>
        <v>121093.13987913972</v>
      </c>
      <c r="Y101" s="5">
        <f>Brazil!Y49+Colombia!Y48+Mexico!Y41+Peru!Y39</f>
        <v>121093.13987913972</v>
      </c>
      <c r="Z101" s="5">
        <f>Brazil!Z49+Colombia!Z48+Mexico!Z41+Peru!Z39</f>
        <v>121093.13987913972</v>
      </c>
      <c r="AA101" s="5">
        <f>Brazil!AA49+Colombia!AA48+Mexico!AA41+Peru!AA39</f>
        <v>121093.13987913972</v>
      </c>
      <c r="AB101" s="5">
        <f>SUM(A101:AA101)</f>
        <v>4119441.0609085266</v>
      </c>
    </row>
  </sheetData>
  <mergeCells count="5">
    <mergeCell ref="J45:L45"/>
    <mergeCell ref="F64:G64"/>
    <mergeCell ref="F45:H45"/>
    <mergeCell ref="F69:G69"/>
    <mergeCell ref="D47:D53"/>
  </mergeCells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topLeftCell="A52" workbookViewId="0">
      <selection activeCell="E58" sqref="E58:I72"/>
    </sheetView>
  </sheetViews>
  <sheetFormatPr baseColWidth="10" defaultColWidth="8.77734375" defaultRowHeight="14.4" x14ac:dyDescent="0.3"/>
  <cols>
    <col min="1" max="1" width="46.33203125" customWidth="1"/>
    <col min="5" max="5" width="24.77734375" customWidth="1"/>
    <col min="8" max="8" width="11.77734375" customWidth="1"/>
  </cols>
  <sheetData>
    <row r="1" spans="1:12" ht="21" x14ac:dyDescent="0.4">
      <c r="A1" s="1" t="s">
        <v>138</v>
      </c>
    </row>
    <row r="3" spans="1:12" x14ac:dyDescent="0.3">
      <c r="A3" s="59" t="s">
        <v>2</v>
      </c>
      <c r="B3" s="44" t="s">
        <v>3</v>
      </c>
      <c r="C3" s="49" t="s">
        <v>80</v>
      </c>
      <c r="D3" s="151" t="s">
        <v>81</v>
      </c>
      <c r="E3" s="151"/>
      <c r="F3" s="151"/>
      <c r="G3" s="151"/>
      <c r="H3" s="151"/>
      <c r="I3" s="151"/>
      <c r="J3" s="151"/>
      <c r="K3" s="151"/>
      <c r="L3" s="151"/>
    </row>
    <row r="4" spans="1:12" x14ac:dyDescent="0.3">
      <c r="A4" s="82" t="s">
        <v>116</v>
      </c>
      <c r="B4" s="5">
        <v>57000</v>
      </c>
      <c r="C4" s="4" t="s">
        <v>84</v>
      </c>
      <c r="D4" s="134" t="s">
        <v>272</v>
      </c>
      <c r="E4" s="134"/>
      <c r="F4" s="134"/>
      <c r="G4" s="134"/>
      <c r="H4" s="134"/>
      <c r="I4" s="134"/>
      <c r="J4" s="134"/>
      <c r="K4" s="134"/>
      <c r="L4" s="134"/>
    </row>
    <row r="5" spans="1:12" x14ac:dyDescent="0.3">
      <c r="A5" s="82" t="s">
        <v>140</v>
      </c>
      <c r="B5" s="5">
        <f>B4/365*0.95*1.1</f>
        <v>163.1917808219178</v>
      </c>
      <c r="C5" s="4" t="s">
        <v>84</v>
      </c>
      <c r="D5" s="134" t="s">
        <v>273</v>
      </c>
      <c r="E5" s="134"/>
      <c r="F5" s="134"/>
      <c r="G5" s="134"/>
      <c r="H5" s="134"/>
      <c r="I5" s="134"/>
      <c r="J5" s="134"/>
      <c r="K5" s="134"/>
      <c r="L5" s="134"/>
    </row>
    <row r="6" spans="1:12" x14ac:dyDescent="0.3">
      <c r="A6" s="4" t="s">
        <v>142</v>
      </c>
      <c r="B6" s="10">
        <v>1.1000000000000001</v>
      </c>
      <c r="C6" s="4" t="s">
        <v>85</v>
      </c>
      <c r="D6" s="134" t="s">
        <v>143</v>
      </c>
      <c r="E6" s="134"/>
      <c r="F6" s="134"/>
      <c r="G6" s="134"/>
      <c r="H6" s="134"/>
      <c r="I6" s="134"/>
      <c r="J6" s="134"/>
      <c r="K6" s="134"/>
      <c r="L6" s="134"/>
    </row>
    <row r="7" spans="1:12" x14ac:dyDescent="0.3">
      <c r="A7" s="4" t="s">
        <v>117</v>
      </c>
      <c r="B7" s="22">
        <f>3.7854*1/7.5*100</f>
        <v>50.472000000000008</v>
      </c>
      <c r="C7" s="4" t="s">
        <v>118</v>
      </c>
      <c r="D7" s="134" t="s">
        <v>274</v>
      </c>
      <c r="E7" s="134"/>
      <c r="F7" s="134"/>
      <c r="G7" s="134"/>
      <c r="H7" s="134"/>
      <c r="I7" s="134"/>
      <c r="J7" s="134"/>
      <c r="K7" s="134"/>
      <c r="L7" s="134"/>
    </row>
    <row r="8" spans="1:12" x14ac:dyDescent="0.3">
      <c r="A8" s="4" t="s">
        <v>275</v>
      </c>
      <c r="B8" s="22">
        <v>48</v>
      </c>
      <c r="C8" s="4" t="s">
        <v>276</v>
      </c>
      <c r="D8" s="134" t="s">
        <v>274</v>
      </c>
      <c r="E8" s="134"/>
      <c r="F8" s="134"/>
      <c r="G8" s="134"/>
      <c r="H8" s="134"/>
      <c r="I8" s="134"/>
      <c r="J8" s="134"/>
      <c r="K8" s="134"/>
      <c r="L8" s="134"/>
    </row>
    <row r="9" spans="1:12" x14ac:dyDescent="0.3">
      <c r="A9" s="4" t="s">
        <v>277</v>
      </c>
      <c r="B9" s="70">
        <f>0.32+0.04+0.02</f>
        <v>0.38</v>
      </c>
      <c r="C9" s="4" t="s">
        <v>145</v>
      </c>
      <c r="D9" s="134" t="s">
        <v>274</v>
      </c>
      <c r="E9" s="134"/>
      <c r="F9" s="134"/>
      <c r="G9" s="134"/>
      <c r="H9" s="134"/>
      <c r="I9" s="134"/>
      <c r="J9" s="134"/>
      <c r="K9" s="134"/>
      <c r="L9" s="134"/>
    </row>
    <row r="10" spans="1:12" x14ac:dyDescent="0.3">
      <c r="A10" s="4" t="s">
        <v>144</v>
      </c>
      <c r="B10" s="70">
        <f>0.21+0.02+0.02</f>
        <v>0.24999999999999997</v>
      </c>
      <c r="C10" s="4" t="s">
        <v>145</v>
      </c>
      <c r="D10" s="134" t="s">
        <v>274</v>
      </c>
      <c r="E10" s="134"/>
      <c r="F10" s="134"/>
      <c r="G10" s="134"/>
      <c r="H10" s="134"/>
      <c r="I10" s="134"/>
      <c r="J10" s="134"/>
      <c r="K10" s="134"/>
      <c r="L10" s="134"/>
    </row>
    <row r="11" spans="1:12" x14ac:dyDescent="0.3">
      <c r="A11" s="4" t="s">
        <v>278</v>
      </c>
      <c r="B11" s="70">
        <v>0.28999999999999998</v>
      </c>
      <c r="C11" s="4" t="s">
        <v>279</v>
      </c>
      <c r="D11" s="134" t="s">
        <v>274</v>
      </c>
      <c r="E11" s="134"/>
      <c r="F11" s="134"/>
      <c r="G11" s="134"/>
      <c r="H11" s="134"/>
      <c r="I11" s="134"/>
      <c r="J11" s="134"/>
      <c r="K11" s="134"/>
      <c r="L11" s="134"/>
    </row>
    <row r="12" spans="1:12" x14ac:dyDescent="0.3">
      <c r="A12" s="4" t="s">
        <v>280</v>
      </c>
      <c r="B12" s="55">
        <v>1.4E-2</v>
      </c>
      <c r="C12" s="4"/>
      <c r="D12" s="134" t="s">
        <v>274</v>
      </c>
      <c r="E12" s="134"/>
      <c r="F12" s="134"/>
      <c r="G12" s="134"/>
      <c r="H12" s="134"/>
      <c r="I12" s="134"/>
      <c r="J12" s="134"/>
      <c r="K12" s="134"/>
      <c r="L12" s="134"/>
    </row>
    <row r="13" spans="1:12" x14ac:dyDescent="0.3">
      <c r="A13" s="4" t="s">
        <v>281</v>
      </c>
      <c r="B13" s="55">
        <v>2.1999999999999999E-2</v>
      </c>
      <c r="C13" s="4"/>
      <c r="D13" s="134" t="s">
        <v>274</v>
      </c>
      <c r="E13" s="134"/>
      <c r="F13" s="134"/>
      <c r="G13" s="134"/>
      <c r="H13" s="134"/>
      <c r="I13" s="134"/>
      <c r="J13" s="134"/>
      <c r="K13" s="134"/>
      <c r="L13" s="134"/>
    </row>
    <row r="14" spans="1:12" x14ac:dyDescent="0.3">
      <c r="A14" s="60" t="s">
        <v>119</v>
      </c>
      <c r="B14" s="10">
        <v>14</v>
      </c>
      <c r="C14" s="4" t="s">
        <v>83</v>
      </c>
      <c r="D14" s="134" t="s">
        <v>282</v>
      </c>
      <c r="E14" s="134"/>
      <c r="F14" s="134"/>
      <c r="G14" s="134"/>
      <c r="H14" s="134"/>
      <c r="I14" s="134"/>
      <c r="J14" s="134"/>
      <c r="K14" s="134"/>
      <c r="L14" s="134"/>
    </row>
    <row r="15" spans="1:12" x14ac:dyDescent="0.3">
      <c r="A15" s="60" t="s">
        <v>147</v>
      </c>
      <c r="B15" s="10">
        <f>16</f>
        <v>16</v>
      </c>
      <c r="C15" s="4" t="s">
        <v>83</v>
      </c>
      <c r="D15" s="134" t="s">
        <v>148</v>
      </c>
      <c r="E15" s="134"/>
      <c r="F15" s="134"/>
      <c r="G15" s="134"/>
      <c r="H15" s="134"/>
      <c r="I15" s="134"/>
      <c r="J15" s="134"/>
      <c r="K15" s="134"/>
      <c r="L15" s="134"/>
    </row>
    <row r="16" spans="1:12" x14ac:dyDescent="0.3">
      <c r="A16" s="4" t="s">
        <v>149</v>
      </c>
      <c r="B16" s="10">
        <v>8</v>
      </c>
      <c r="C16" s="4" t="s">
        <v>83</v>
      </c>
      <c r="D16" s="134" t="s">
        <v>150</v>
      </c>
      <c r="E16" s="134"/>
      <c r="F16" s="134"/>
      <c r="G16" s="134"/>
      <c r="H16" s="134"/>
      <c r="I16" s="134"/>
      <c r="J16" s="134"/>
      <c r="K16" s="134"/>
      <c r="L16" s="134"/>
    </row>
    <row r="17" spans="1:12" x14ac:dyDescent="0.3">
      <c r="B17" s="2"/>
      <c r="D17" s="83"/>
      <c r="E17" s="83"/>
      <c r="F17" s="83"/>
      <c r="G17" s="83"/>
      <c r="H17" s="83"/>
    </row>
    <row r="18" spans="1:12" x14ac:dyDescent="0.3">
      <c r="A18" s="3" t="s">
        <v>151</v>
      </c>
      <c r="B18" s="2"/>
      <c r="D18" s="83"/>
      <c r="E18" s="83"/>
      <c r="F18" s="83"/>
      <c r="G18" s="83"/>
      <c r="H18" s="83"/>
    </row>
    <row r="19" spans="1:12" x14ac:dyDescent="0.3">
      <c r="A19" s="59" t="s">
        <v>2</v>
      </c>
      <c r="B19" s="44" t="s">
        <v>3</v>
      </c>
      <c r="C19" s="49" t="s">
        <v>80</v>
      </c>
      <c r="D19" s="151" t="s">
        <v>81</v>
      </c>
      <c r="E19" s="151"/>
      <c r="F19" s="151"/>
      <c r="G19" s="151"/>
      <c r="H19" s="151"/>
      <c r="I19" s="151"/>
      <c r="J19" s="151"/>
      <c r="K19" s="151"/>
      <c r="L19" s="151"/>
    </row>
    <row r="20" spans="1:12" x14ac:dyDescent="0.3">
      <c r="A20" s="58" t="s">
        <v>152</v>
      </c>
      <c r="B20" s="5">
        <v>118000</v>
      </c>
      <c r="C20" s="4" t="s">
        <v>153</v>
      </c>
      <c r="D20" s="134" t="s">
        <v>283</v>
      </c>
      <c r="E20" s="134"/>
      <c r="F20" s="134"/>
      <c r="G20" s="134"/>
      <c r="H20" s="134"/>
      <c r="I20" s="134"/>
      <c r="J20" s="134"/>
      <c r="K20" s="134"/>
      <c r="L20" s="134"/>
    </row>
    <row r="21" spans="1:12" x14ac:dyDescent="0.3">
      <c r="A21" s="58" t="s">
        <v>284</v>
      </c>
      <c r="B21" s="5">
        <v>157000</v>
      </c>
      <c r="C21" s="4" t="s">
        <v>153</v>
      </c>
      <c r="D21" s="134" t="s">
        <v>283</v>
      </c>
      <c r="E21" s="134"/>
      <c r="F21" s="134"/>
      <c r="G21" s="134"/>
      <c r="H21" s="134"/>
      <c r="I21" s="134"/>
      <c r="J21" s="134"/>
      <c r="K21" s="134"/>
      <c r="L21" s="134"/>
    </row>
    <row r="22" spans="1:12" x14ac:dyDescent="0.3">
      <c r="A22" s="58" t="s">
        <v>154</v>
      </c>
      <c r="B22" s="5">
        <f>320000*(1+0.16+0.02)</f>
        <v>377600</v>
      </c>
      <c r="C22" s="4" t="s">
        <v>153</v>
      </c>
      <c r="D22" s="134" t="s">
        <v>285</v>
      </c>
      <c r="E22" s="134"/>
      <c r="F22" s="134"/>
      <c r="G22" s="134"/>
      <c r="H22" s="134"/>
      <c r="I22" s="134"/>
      <c r="J22" s="134"/>
      <c r="K22" s="134"/>
      <c r="L22" s="134"/>
    </row>
    <row r="23" spans="1:12" x14ac:dyDescent="0.3">
      <c r="A23" s="58" t="s">
        <v>156</v>
      </c>
      <c r="B23" s="5">
        <v>200</v>
      </c>
      <c r="C23" s="4" t="s">
        <v>157</v>
      </c>
      <c r="D23" s="134" t="s">
        <v>158</v>
      </c>
      <c r="E23" s="134"/>
      <c r="F23" s="134"/>
      <c r="G23" s="134"/>
      <c r="H23" s="134"/>
      <c r="I23" s="134"/>
      <c r="J23" s="134"/>
      <c r="K23" s="134"/>
      <c r="L23" s="134"/>
    </row>
    <row r="24" spans="1:12" x14ac:dyDescent="0.3">
      <c r="A24" s="58" t="s">
        <v>159</v>
      </c>
      <c r="B24" s="5">
        <f>250000*1.18</f>
        <v>295000</v>
      </c>
      <c r="C24" s="4" t="s">
        <v>153</v>
      </c>
      <c r="D24" s="133" t="s">
        <v>286</v>
      </c>
      <c r="E24" s="133"/>
      <c r="F24" s="133"/>
      <c r="G24" s="133"/>
      <c r="H24" s="133"/>
      <c r="I24" s="133"/>
      <c r="J24" s="133"/>
      <c r="K24" s="133"/>
      <c r="L24" s="133"/>
    </row>
    <row r="25" spans="1:12" x14ac:dyDescent="0.3">
      <c r="A25" s="58" t="s">
        <v>161</v>
      </c>
      <c r="B25" s="5">
        <v>250</v>
      </c>
      <c r="C25" s="4" t="s">
        <v>157</v>
      </c>
      <c r="D25" s="134" t="s">
        <v>162</v>
      </c>
      <c r="E25" s="134"/>
      <c r="F25" s="134"/>
      <c r="G25" s="134"/>
      <c r="H25" s="134"/>
      <c r="I25" s="134"/>
      <c r="J25" s="134"/>
      <c r="K25" s="134"/>
      <c r="L25" s="134"/>
    </row>
    <row r="26" spans="1:12" x14ac:dyDescent="0.3">
      <c r="A26" s="58" t="s">
        <v>163</v>
      </c>
      <c r="B26" s="84">
        <v>0.5</v>
      </c>
      <c r="C26" s="58"/>
      <c r="D26" s="134" t="s">
        <v>164</v>
      </c>
      <c r="E26" s="134"/>
      <c r="F26" s="134"/>
      <c r="G26" s="134"/>
      <c r="H26" s="134"/>
      <c r="I26" s="134"/>
      <c r="J26" s="134"/>
      <c r="K26" s="134"/>
      <c r="L26" s="134"/>
    </row>
    <row r="27" spans="1:12" x14ac:dyDescent="0.3">
      <c r="A27" s="58" t="s">
        <v>165</v>
      </c>
      <c r="B27" s="45">
        <v>120</v>
      </c>
      <c r="C27" s="58" t="s">
        <v>166</v>
      </c>
      <c r="D27" s="134" t="s">
        <v>167</v>
      </c>
      <c r="E27" s="134"/>
      <c r="F27" s="134"/>
      <c r="G27" s="134"/>
      <c r="H27" s="134"/>
      <c r="I27" s="134"/>
      <c r="J27" s="134"/>
      <c r="K27" s="134"/>
      <c r="L27" s="134"/>
    </row>
    <row r="28" spans="1:12" x14ac:dyDescent="0.3">
      <c r="A28" s="58" t="s">
        <v>168</v>
      </c>
      <c r="B28" s="85">
        <f>5000/2</f>
        <v>2500</v>
      </c>
      <c r="C28" s="58" t="s">
        <v>169</v>
      </c>
      <c r="D28" s="134" t="s">
        <v>170</v>
      </c>
      <c r="E28" s="134"/>
      <c r="F28" s="134"/>
      <c r="G28" s="134"/>
      <c r="H28" s="134"/>
      <c r="I28" s="134"/>
      <c r="J28" s="134"/>
      <c r="K28" s="134"/>
      <c r="L28" s="134"/>
    </row>
    <row r="29" spans="1:12" x14ac:dyDescent="0.3">
      <c r="A29" s="58" t="s">
        <v>171</v>
      </c>
      <c r="B29" s="45">
        <f>(250+125)*20</f>
        <v>7500</v>
      </c>
      <c r="C29" s="58" t="s">
        <v>169</v>
      </c>
      <c r="D29" s="134" t="s">
        <v>172</v>
      </c>
      <c r="E29" s="134"/>
      <c r="F29" s="134"/>
      <c r="G29" s="134"/>
      <c r="H29" s="134"/>
      <c r="I29" s="134"/>
      <c r="J29" s="134"/>
      <c r="K29" s="134"/>
      <c r="L29" s="134"/>
    </row>
    <row r="30" spans="1:12" x14ac:dyDescent="0.3">
      <c r="A30" s="58" t="s">
        <v>173</v>
      </c>
      <c r="B30" s="45">
        <v>30000</v>
      </c>
      <c r="C30" s="58" t="s">
        <v>169</v>
      </c>
      <c r="D30" s="134" t="s">
        <v>174</v>
      </c>
      <c r="E30" s="134"/>
      <c r="F30" s="134"/>
      <c r="G30" s="134"/>
      <c r="H30" s="134"/>
      <c r="I30" s="134"/>
      <c r="J30" s="134"/>
      <c r="K30" s="134"/>
      <c r="L30" s="134"/>
    </row>
    <row r="31" spans="1:12" x14ac:dyDescent="0.3">
      <c r="A31" s="60" t="s">
        <v>287</v>
      </c>
      <c r="B31" s="100">
        <f>0.02*1.1+0.21*0.6</f>
        <v>0.14799999999999999</v>
      </c>
      <c r="C31" s="58" t="s">
        <v>145</v>
      </c>
      <c r="D31" s="148" t="s">
        <v>288</v>
      </c>
      <c r="E31" s="148"/>
      <c r="F31" s="148"/>
      <c r="G31" s="148"/>
      <c r="H31" s="148"/>
      <c r="I31" s="148"/>
      <c r="J31" s="148"/>
      <c r="K31" s="148"/>
      <c r="L31" s="148"/>
    </row>
    <row r="32" spans="1:12" x14ac:dyDescent="0.3">
      <c r="A32" s="60" t="s">
        <v>179</v>
      </c>
      <c r="B32" s="85">
        <v>10</v>
      </c>
      <c r="C32" s="58" t="s">
        <v>83</v>
      </c>
      <c r="D32" s="148" t="s">
        <v>180</v>
      </c>
      <c r="E32" s="148"/>
      <c r="F32" s="148"/>
      <c r="G32" s="148"/>
      <c r="H32" s="148"/>
      <c r="I32" s="148"/>
      <c r="J32" s="148"/>
      <c r="K32" s="148"/>
      <c r="L32" s="148"/>
    </row>
    <row r="33" spans="1:12" x14ac:dyDescent="0.3">
      <c r="A33" s="60" t="s">
        <v>181</v>
      </c>
      <c r="B33" s="85">
        <v>20</v>
      </c>
      <c r="C33" s="58" t="s">
        <v>83</v>
      </c>
      <c r="D33" s="148" t="s">
        <v>180</v>
      </c>
      <c r="E33" s="148"/>
      <c r="F33" s="148"/>
      <c r="G33" s="148"/>
      <c r="H33" s="148"/>
      <c r="I33" s="148"/>
      <c r="J33" s="148"/>
      <c r="K33" s="148"/>
      <c r="L33" s="148"/>
    </row>
    <row r="34" spans="1:12" x14ac:dyDescent="0.3">
      <c r="A34" s="60" t="s">
        <v>182</v>
      </c>
      <c r="B34" s="85">
        <v>20</v>
      </c>
      <c r="C34" s="58" t="s">
        <v>83</v>
      </c>
      <c r="D34" s="148" t="s">
        <v>180</v>
      </c>
      <c r="E34" s="148"/>
      <c r="F34" s="148"/>
      <c r="G34" s="148"/>
      <c r="H34" s="148"/>
      <c r="I34" s="148"/>
      <c r="J34" s="148"/>
      <c r="K34" s="148"/>
      <c r="L34" s="148"/>
    </row>
    <row r="35" spans="1:12" x14ac:dyDescent="0.3">
      <c r="A35" s="60" t="s">
        <v>183</v>
      </c>
      <c r="B35" s="84">
        <v>0.02</v>
      </c>
      <c r="C35" s="58"/>
      <c r="D35" s="148" t="s">
        <v>184</v>
      </c>
      <c r="E35" s="148"/>
      <c r="F35" s="148"/>
      <c r="G35" s="148"/>
      <c r="H35" s="148"/>
      <c r="I35" s="148"/>
      <c r="J35" s="148"/>
      <c r="K35" s="148"/>
      <c r="L35" s="148"/>
    </row>
    <row r="36" spans="1:12" x14ac:dyDescent="0.3">
      <c r="A36" s="86"/>
      <c r="B36" s="87"/>
      <c r="C36" s="88"/>
      <c r="D36" s="149"/>
      <c r="E36" s="149"/>
      <c r="F36" s="149"/>
      <c r="G36" s="149"/>
      <c r="H36" s="149"/>
      <c r="I36" s="149"/>
      <c r="J36" s="149"/>
      <c r="K36" s="149"/>
      <c r="L36" s="149"/>
    </row>
    <row r="37" spans="1:12" x14ac:dyDescent="0.3">
      <c r="A37" s="86"/>
      <c r="B37" s="87"/>
      <c r="C37" s="88"/>
      <c r="D37" s="89"/>
      <c r="E37" s="89"/>
      <c r="F37" s="89"/>
      <c r="G37" s="89"/>
      <c r="H37" s="89"/>
      <c r="I37" s="89"/>
      <c r="J37" s="89"/>
      <c r="K37" s="89"/>
      <c r="L37" s="89"/>
    </row>
    <row r="38" spans="1:12" x14ac:dyDescent="0.3">
      <c r="D38" s="150"/>
      <c r="E38" s="150"/>
      <c r="F38" s="150"/>
      <c r="G38" s="150"/>
      <c r="H38" s="150"/>
    </row>
    <row r="39" spans="1:12" x14ac:dyDescent="0.3">
      <c r="A39" s="90" t="s">
        <v>185</v>
      </c>
    </row>
    <row r="41" spans="1:12" x14ac:dyDescent="0.3">
      <c r="A41" s="3" t="s">
        <v>186</v>
      </c>
    </row>
    <row r="42" spans="1:12" x14ac:dyDescent="0.3">
      <c r="A42" s="49" t="s">
        <v>2</v>
      </c>
      <c r="B42" s="7" t="s">
        <v>80</v>
      </c>
      <c r="C42" s="7" t="s">
        <v>3</v>
      </c>
    </row>
    <row r="43" spans="1:12" x14ac:dyDescent="0.3">
      <c r="A43" s="29" t="s">
        <v>187</v>
      </c>
      <c r="B43" s="10" t="s">
        <v>84</v>
      </c>
      <c r="C43" s="5">
        <f>B5</f>
        <v>163.1917808219178</v>
      </c>
    </row>
    <row r="44" spans="1:12" x14ac:dyDescent="0.3">
      <c r="A44" s="29" t="s">
        <v>188</v>
      </c>
      <c r="B44" s="10" t="s">
        <v>82</v>
      </c>
      <c r="C44" s="22">
        <f>C43*B6</f>
        <v>179.5109589041096</v>
      </c>
    </row>
    <row r="45" spans="1:12" x14ac:dyDescent="0.3">
      <c r="A45" s="29" t="s">
        <v>189</v>
      </c>
      <c r="B45" s="10"/>
      <c r="C45" s="17">
        <v>0.1</v>
      </c>
    </row>
    <row r="46" spans="1:12" x14ac:dyDescent="0.3">
      <c r="A46" s="29" t="s">
        <v>190</v>
      </c>
      <c r="B46" s="10"/>
      <c r="C46" s="17">
        <v>0.2</v>
      </c>
    </row>
    <row r="47" spans="1:12" x14ac:dyDescent="0.3">
      <c r="A47" s="29" t="s">
        <v>191</v>
      </c>
      <c r="B47" s="10"/>
      <c r="C47" s="17">
        <v>0.2</v>
      </c>
    </row>
    <row r="48" spans="1:12" x14ac:dyDescent="0.3">
      <c r="A48" s="91" t="s">
        <v>192</v>
      </c>
      <c r="B48" s="28" t="s">
        <v>82</v>
      </c>
      <c r="C48" s="19">
        <f>ROUND(((C44*(100%+C45))/(100%-C46))/(100%-C47),-1)</f>
        <v>310</v>
      </c>
    </row>
    <row r="50" spans="1:9" x14ac:dyDescent="0.3">
      <c r="A50" s="92" t="s">
        <v>193</v>
      </c>
    </row>
    <row r="51" spans="1:9" x14ac:dyDescent="0.3">
      <c r="A51" s="49" t="s">
        <v>2</v>
      </c>
      <c r="B51" s="7" t="s">
        <v>80</v>
      </c>
      <c r="C51" s="7" t="s">
        <v>3</v>
      </c>
    </row>
    <row r="52" spans="1:9" x14ac:dyDescent="0.3">
      <c r="A52" s="4" t="s">
        <v>194</v>
      </c>
      <c r="B52" s="61" t="s">
        <v>82</v>
      </c>
      <c r="C52" s="62">
        <f>C48</f>
        <v>310</v>
      </c>
    </row>
    <row r="53" spans="1:9" x14ac:dyDescent="0.3">
      <c r="A53" s="4" t="s">
        <v>195</v>
      </c>
      <c r="B53" s="61" t="s">
        <v>82</v>
      </c>
      <c r="C53" s="62">
        <f>C44</f>
        <v>179.5109589041096</v>
      </c>
    </row>
    <row r="54" spans="1:9" x14ac:dyDescent="0.3">
      <c r="A54" s="52" t="s">
        <v>196</v>
      </c>
      <c r="B54" s="61" t="s">
        <v>197</v>
      </c>
      <c r="C54" s="61">
        <v>6</v>
      </c>
    </row>
    <row r="55" spans="1:9" x14ac:dyDescent="0.3">
      <c r="A55" s="52" t="s">
        <v>198</v>
      </c>
      <c r="B55" s="61"/>
      <c r="C55" s="84">
        <v>0.9</v>
      </c>
    </row>
    <row r="56" spans="1:9" ht="28.8" x14ac:dyDescent="0.3">
      <c r="A56" s="52" t="s">
        <v>199</v>
      </c>
      <c r="B56" s="61" t="s">
        <v>200</v>
      </c>
      <c r="C56" s="45">
        <f>ROUND((C53/C55)/(C54-1),-1)</f>
        <v>40</v>
      </c>
    </row>
    <row r="57" spans="1:9" x14ac:dyDescent="0.3">
      <c r="E57" s="3" t="s">
        <v>261</v>
      </c>
    </row>
    <row r="58" spans="1:9" x14ac:dyDescent="0.3">
      <c r="A58" s="93" t="s">
        <v>201</v>
      </c>
      <c r="E58" s="6" t="s">
        <v>2</v>
      </c>
      <c r="F58" s="7" t="s">
        <v>72</v>
      </c>
      <c r="G58" s="7" t="s">
        <v>73</v>
      </c>
      <c r="H58" s="7" t="s">
        <v>232</v>
      </c>
      <c r="I58" s="7" t="s">
        <v>233</v>
      </c>
    </row>
    <row r="59" spans="1:9" x14ac:dyDescent="0.3">
      <c r="E59" s="4" t="s">
        <v>234</v>
      </c>
      <c r="F59" s="5">
        <v>118000</v>
      </c>
      <c r="G59" s="5">
        <v>157000</v>
      </c>
      <c r="H59" s="5">
        <v>377600</v>
      </c>
      <c r="I59" s="5">
        <v>295000</v>
      </c>
    </row>
    <row r="60" spans="1:9" x14ac:dyDescent="0.3">
      <c r="A60" s="49" t="s">
        <v>2</v>
      </c>
      <c r="B60" s="7" t="s">
        <v>80</v>
      </c>
      <c r="C60" s="7" t="s">
        <v>3</v>
      </c>
      <c r="E60" s="4" t="s">
        <v>235</v>
      </c>
      <c r="F60" s="5">
        <v>0</v>
      </c>
      <c r="G60" s="5">
        <v>0</v>
      </c>
      <c r="H60" s="5">
        <v>7300</v>
      </c>
      <c r="I60" s="5">
        <v>11150</v>
      </c>
    </row>
    <row r="61" spans="1:9" x14ac:dyDescent="0.3">
      <c r="A61" s="29" t="s">
        <v>202</v>
      </c>
      <c r="B61" s="10" t="s">
        <v>82</v>
      </c>
      <c r="C61" s="5">
        <v>200</v>
      </c>
      <c r="E61" s="4" t="s">
        <v>236</v>
      </c>
      <c r="F61" s="5">
        <v>0</v>
      </c>
      <c r="G61" s="5">
        <v>0</v>
      </c>
      <c r="H61" s="5">
        <v>30000</v>
      </c>
      <c r="I61" s="5">
        <v>30000</v>
      </c>
    </row>
    <row r="62" spans="1:9" x14ac:dyDescent="0.3">
      <c r="A62" s="29" t="s">
        <v>203</v>
      </c>
      <c r="B62" s="10"/>
      <c r="C62" s="70">
        <v>0.65</v>
      </c>
      <c r="E62" s="4" t="s">
        <v>237</v>
      </c>
      <c r="F62" s="5">
        <v>0</v>
      </c>
      <c r="G62" s="5">
        <v>0</v>
      </c>
      <c r="H62" s="5">
        <v>7500</v>
      </c>
      <c r="I62" s="5">
        <v>7500</v>
      </c>
    </row>
    <row r="63" spans="1:9" x14ac:dyDescent="0.3">
      <c r="A63" s="29" t="s">
        <v>204</v>
      </c>
      <c r="B63" s="10" t="s">
        <v>82</v>
      </c>
      <c r="C63" s="94">
        <f>C61*C62/2</f>
        <v>65</v>
      </c>
      <c r="E63" s="4" t="s">
        <v>238</v>
      </c>
      <c r="F63" s="5">
        <v>118000</v>
      </c>
      <c r="G63" s="5">
        <v>157000</v>
      </c>
      <c r="H63" s="5">
        <v>422400</v>
      </c>
      <c r="I63" s="5">
        <v>343650</v>
      </c>
    </row>
    <row r="64" spans="1:9" ht="28.8" x14ac:dyDescent="0.3">
      <c r="A64" s="50" t="s">
        <v>205</v>
      </c>
      <c r="B64" s="61" t="s">
        <v>82</v>
      </c>
      <c r="C64" s="85">
        <f>C53-C61*0.8</f>
        <v>19.5109589041096</v>
      </c>
      <c r="E64" s="4" t="s">
        <v>239</v>
      </c>
      <c r="F64" s="5">
        <v>0</v>
      </c>
      <c r="G64" s="5">
        <v>0</v>
      </c>
      <c r="H64" s="5">
        <v>31000</v>
      </c>
      <c r="I64" s="5">
        <v>25000</v>
      </c>
    </row>
    <row r="65" spans="1:9" x14ac:dyDescent="0.3">
      <c r="A65" s="50" t="s">
        <v>206</v>
      </c>
      <c r="B65" s="61"/>
      <c r="C65" s="84">
        <f>C64/C53</f>
        <v>0.10868951412895009</v>
      </c>
      <c r="E65" s="4" t="s">
        <v>240</v>
      </c>
      <c r="F65" s="5">
        <v>29056.730400000004</v>
      </c>
      <c r="G65" s="5">
        <v>7748.8991999999998</v>
      </c>
      <c r="H65" s="5">
        <v>10628.999999999998</v>
      </c>
      <c r="I65" s="5">
        <v>10628.999999999998</v>
      </c>
    </row>
    <row r="66" spans="1:9" x14ac:dyDescent="0.3">
      <c r="A66" s="50" t="s">
        <v>207</v>
      </c>
      <c r="B66" s="61" t="s">
        <v>200</v>
      </c>
      <c r="C66" s="85">
        <v>300</v>
      </c>
      <c r="E66" s="4" t="s">
        <v>241</v>
      </c>
      <c r="F66" s="5">
        <v>14249.999999999998</v>
      </c>
      <c r="G66" s="5">
        <v>21660</v>
      </c>
      <c r="H66" s="5">
        <v>8436</v>
      </c>
      <c r="I66" s="5">
        <v>8436</v>
      </c>
    </row>
    <row r="67" spans="1:9" x14ac:dyDescent="0.3">
      <c r="A67" s="52" t="s">
        <v>208</v>
      </c>
      <c r="B67" s="61"/>
      <c r="C67" s="84">
        <v>0.9</v>
      </c>
      <c r="E67" s="4" t="s">
        <v>289</v>
      </c>
      <c r="F67" s="5">
        <v>973.5</v>
      </c>
      <c r="G67" s="5">
        <v>1295.25</v>
      </c>
      <c r="H67" s="5">
        <v>4413.1999999999989</v>
      </c>
      <c r="I67" s="5">
        <v>3447.8125</v>
      </c>
    </row>
    <row r="68" spans="1:9" x14ac:dyDescent="0.3">
      <c r="A68" s="50" t="s">
        <v>209</v>
      </c>
      <c r="B68" s="61" t="s">
        <v>210</v>
      </c>
      <c r="C68" s="85">
        <f>C64/(C66*C67/60)</f>
        <v>4.3357686453576889</v>
      </c>
      <c r="E68" s="4" t="s">
        <v>242</v>
      </c>
      <c r="F68" s="5">
        <v>0</v>
      </c>
      <c r="G68" s="5">
        <v>0</v>
      </c>
      <c r="H68" s="5">
        <v>896</v>
      </c>
      <c r="I68" s="5">
        <v>973</v>
      </c>
    </row>
    <row r="69" spans="1:9" ht="28.8" x14ac:dyDescent="0.3">
      <c r="A69" s="82" t="s">
        <v>211</v>
      </c>
      <c r="B69" s="95" t="s">
        <v>212</v>
      </c>
      <c r="C69" s="85">
        <v>10</v>
      </c>
      <c r="E69" s="4" t="s">
        <v>243</v>
      </c>
      <c r="F69" s="5">
        <v>2807.028128577093</v>
      </c>
      <c r="G69" s="5">
        <v>3734.7747134457932</v>
      </c>
      <c r="H69" s="5">
        <v>10048.209165347153</v>
      </c>
      <c r="I69" s="5">
        <v>8174.8747151315083</v>
      </c>
    </row>
    <row r="70" spans="1:9" x14ac:dyDescent="0.3">
      <c r="A70" s="82" t="s">
        <v>213</v>
      </c>
      <c r="B70" s="95"/>
      <c r="C70" s="45">
        <f>ROUND(((C53-C64)/C55)/(C54-1),-1)</f>
        <v>40</v>
      </c>
      <c r="E70" s="4" t="s">
        <v>244</v>
      </c>
      <c r="F70" s="5">
        <v>5187.2018107533704</v>
      </c>
      <c r="G70" s="5">
        <v>4906.0660243199991</v>
      </c>
      <c r="H70" s="5">
        <v>722.3040000000002</v>
      </c>
      <c r="I70" s="5">
        <v>722.3040000000002</v>
      </c>
    </row>
    <row r="71" spans="1:9" x14ac:dyDescent="0.3">
      <c r="A71" s="150" t="s">
        <v>214</v>
      </c>
      <c r="B71" s="150"/>
      <c r="C71" s="150"/>
      <c r="E71" s="4" t="s">
        <v>245</v>
      </c>
      <c r="F71" s="70">
        <v>0.95241675703326378</v>
      </c>
      <c r="G71" s="70">
        <v>0.77226746825612225</v>
      </c>
      <c r="H71" s="70">
        <v>1.0976299853569675</v>
      </c>
      <c r="I71" s="70">
        <v>0.95878398623037708</v>
      </c>
    </row>
    <row r="72" spans="1:9" x14ac:dyDescent="0.3">
      <c r="E72" s="4" t="s">
        <v>246</v>
      </c>
      <c r="F72" s="70">
        <v>1.0584318164888009</v>
      </c>
      <c r="G72" s="70">
        <v>0.87253672714303143</v>
      </c>
      <c r="H72" s="70">
        <v>1.1123922992785558</v>
      </c>
      <c r="I72" s="70">
        <v>0.97354630015196564</v>
      </c>
    </row>
    <row r="73" spans="1:9" x14ac:dyDescent="0.3">
      <c r="A73" s="6" t="s">
        <v>217</v>
      </c>
      <c r="B73" s="99"/>
    </row>
    <row r="74" spans="1:9" x14ac:dyDescent="0.3">
      <c r="A74" s="4" t="s">
        <v>215</v>
      </c>
      <c r="B74" s="5">
        <f>B4*B7/100*defaults!B8*defaults!B7*defaults!B6*(100%+defaults!B9)/10^6</f>
        <v>95.161130268834228</v>
      </c>
    </row>
    <row r="75" spans="1:9" x14ac:dyDescent="0.3">
      <c r="A75" s="4" t="s">
        <v>216</v>
      </c>
      <c r="B75" s="5">
        <f>B6*B4*'Grid Factors'!B10/1000</f>
        <v>15.800400000000002</v>
      </c>
    </row>
    <row r="76" spans="1:9" x14ac:dyDescent="0.3">
      <c r="A76" s="4" t="s">
        <v>218</v>
      </c>
      <c r="B76" s="5">
        <f>B74-B75</f>
        <v>79.360730268834232</v>
      </c>
    </row>
    <row r="77" spans="1:9" x14ac:dyDescent="0.3">
      <c r="B77" s="98"/>
    </row>
    <row r="78" spans="1:9" x14ac:dyDescent="0.3">
      <c r="A78" s="6" t="s">
        <v>230</v>
      </c>
      <c r="B78" s="99"/>
    </row>
    <row r="79" spans="1:9" x14ac:dyDescent="0.3">
      <c r="A79" s="4" t="s">
        <v>227</v>
      </c>
      <c r="B79" s="5">
        <f>B4*B7/100*defaults!B8*defaults!B6/1000</f>
        <v>1044.0859996800002</v>
      </c>
    </row>
    <row r="80" spans="1:9" x14ac:dyDescent="0.3">
      <c r="A80" s="4" t="s">
        <v>228</v>
      </c>
      <c r="B80" s="5">
        <f>B6*B4*defaults!B20/1000</f>
        <v>225.72000000000003</v>
      </c>
    </row>
    <row r="81" spans="1:2" x14ac:dyDescent="0.3">
      <c r="A81" s="4" t="s">
        <v>229</v>
      </c>
      <c r="B81" s="5">
        <f>B79-B80</f>
        <v>818.36599968000019</v>
      </c>
    </row>
  </sheetData>
  <mergeCells count="34">
    <mergeCell ref="D14:L14"/>
    <mergeCell ref="D3:L3"/>
    <mergeCell ref="D4:L4"/>
    <mergeCell ref="D5:L5"/>
    <mergeCell ref="D6:L6"/>
    <mergeCell ref="D7:L7"/>
    <mergeCell ref="D8:L8"/>
    <mergeCell ref="D9:L9"/>
    <mergeCell ref="D10:L10"/>
    <mergeCell ref="D11:L11"/>
    <mergeCell ref="D12:L12"/>
    <mergeCell ref="D13:L13"/>
    <mergeCell ref="D28:L28"/>
    <mergeCell ref="D15:L15"/>
    <mergeCell ref="D16:L16"/>
    <mergeCell ref="D19:L19"/>
    <mergeCell ref="D20:L20"/>
    <mergeCell ref="D21:L21"/>
    <mergeCell ref="D22:L22"/>
    <mergeCell ref="D23:L23"/>
    <mergeCell ref="D24:L24"/>
    <mergeCell ref="D25:L25"/>
    <mergeCell ref="D26:L26"/>
    <mergeCell ref="D27:L27"/>
    <mergeCell ref="D35:L35"/>
    <mergeCell ref="D36:L36"/>
    <mergeCell ref="D38:H38"/>
    <mergeCell ref="A71:C71"/>
    <mergeCell ref="D29:L29"/>
    <mergeCell ref="D30:L30"/>
    <mergeCell ref="D31:L31"/>
    <mergeCell ref="D32:L32"/>
    <mergeCell ref="D33:L33"/>
    <mergeCell ref="D34:L3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A20" sqref="A20:J20"/>
    </sheetView>
  </sheetViews>
  <sheetFormatPr baseColWidth="10" defaultColWidth="9.109375" defaultRowHeight="14.4" x14ac:dyDescent="0.3"/>
  <cols>
    <col min="1" max="1" width="49.5546875" customWidth="1"/>
    <col min="3" max="3" width="12.21875" customWidth="1"/>
  </cols>
  <sheetData>
    <row r="1" spans="1:10" ht="21" x14ac:dyDescent="0.4">
      <c r="A1" s="1" t="s">
        <v>115</v>
      </c>
    </row>
    <row r="4" spans="1:10" x14ac:dyDescent="0.3">
      <c r="A4" s="3" t="s">
        <v>86</v>
      </c>
    </row>
    <row r="5" spans="1:10" x14ac:dyDescent="0.3">
      <c r="A5" s="48" t="s">
        <v>2</v>
      </c>
      <c r="B5" s="47" t="s">
        <v>3</v>
      </c>
      <c r="C5" s="49" t="s">
        <v>80</v>
      </c>
      <c r="D5" s="132" t="s">
        <v>81</v>
      </c>
      <c r="E5" s="132"/>
      <c r="F5" s="132"/>
      <c r="G5" s="132"/>
      <c r="H5" s="132"/>
      <c r="I5" s="132"/>
      <c r="J5" s="132"/>
    </row>
    <row r="6" spans="1:10" x14ac:dyDescent="0.3">
      <c r="A6" s="50" t="s">
        <v>87</v>
      </c>
      <c r="B6" s="39">
        <v>43</v>
      </c>
      <c r="C6" s="4" t="s">
        <v>88</v>
      </c>
      <c r="D6" s="134" t="s">
        <v>89</v>
      </c>
      <c r="E6" s="134"/>
      <c r="F6" s="134"/>
      <c r="G6" s="134"/>
      <c r="H6" s="134"/>
      <c r="I6" s="134"/>
      <c r="J6" s="134"/>
    </row>
    <row r="7" spans="1:10" ht="15.6" x14ac:dyDescent="0.35">
      <c r="A7" s="50" t="s">
        <v>90</v>
      </c>
      <c r="B7" s="51">
        <v>74.099999999999994</v>
      </c>
      <c r="C7" s="52" t="s">
        <v>91</v>
      </c>
      <c r="D7" s="134" t="s">
        <v>92</v>
      </c>
      <c r="E7" s="134"/>
      <c r="F7" s="134"/>
      <c r="G7" s="134"/>
      <c r="H7" s="134"/>
      <c r="I7" s="134"/>
      <c r="J7" s="134"/>
    </row>
    <row r="8" spans="1:10" x14ac:dyDescent="0.3">
      <c r="A8" s="50" t="s">
        <v>93</v>
      </c>
      <c r="B8" s="51">
        <v>0.84399999999999997</v>
      </c>
      <c r="C8" s="52" t="s">
        <v>94</v>
      </c>
      <c r="D8" s="134" t="s">
        <v>95</v>
      </c>
      <c r="E8" s="134"/>
      <c r="F8" s="134"/>
      <c r="G8" s="134"/>
      <c r="H8" s="134"/>
      <c r="I8" s="134"/>
      <c r="J8" s="134"/>
    </row>
    <row r="9" spans="1:10" x14ac:dyDescent="0.3">
      <c r="A9" s="50" t="s">
        <v>96</v>
      </c>
      <c r="B9" s="53">
        <v>0.23</v>
      </c>
      <c r="C9" s="54"/>
      <c r="D9" s="134" t="s">
        <v>97</v>
      </c>
      <c r="E9" s="134"/>
      <c r="F9" s="134"/>
      <c r="G9" s="134"/>
      <c r="H9" s="134"/>
      <c r="I9" s="134"/>
      <c r="J9" s="134"/>
    </row>
    <row r="10" spans="1:10" x14ac:dyDescent="0.3">
      <c r="A10" s="50" t="s">
        <v>98</v>
      </c>
      <c r="B10" s="10">
        <v>48</v>
      </c>
      <c r="C10" s="4" t="s">
        <v>88</v>
      </c>
      <c r="D10" s="134" t="s">
        <v>89</v>
      </c>
      <c r="E10" s="134"/>
      <c r="F10" s="134"/>
      <c r="G10" s="134"/>
      <c r="H10" s="134"/>
      <c r="I10" s="134"/>
      <c r="J10" s="134"/>
    </row>
    <row r="11" spans="1:10" ht="15.6" x14ac:dyDescent="0.35">
      <c r="A11" s="50" t="s">
        <v>99</v>
      </c>
      <c r="B11" s="10">
        <v>56.1</v>
      </c>
      <c r="C11" s="52" t="s">
        <v>91</v>
      </c>
      <c r="D11" s="134" t="s">
        <v>92</v>
      </c>
      <c r="E11" s="134"/>
      <c r="F11" s="134"/>
      <c r="G11" s="134"/>
      <c r="H11" s="134"/>
      <c r="I11" s="134"/>
      <c r="J11" s="134"/>
    </row>
    <row r="12" spans="1:10" ht="16.2" x14ac:dyDescent="0.3">
      <c r="A12" s="50" t="s">
        <v>100</v>
      </c>
      <c r="B12" s="10">
        <v>0.71399999999999997</v>
      </c>
      <c r="C12" s="52" t="s">
        <v>101</v>
      </c>
      <c r="D12" s="134" t="s">
        <v>102</v>
      </c>
      <c r="E12" s="134"/>
      <c r="F12" s="134"/>
      <c r="G12" s="134"/>
      <c r="H12" s="134"/>
      <c r="I12" s="134"/>
      <c r="J12" s="134"/>
    </row>
    <row r="13" spans="1:10" x14ac:dyDescent="0.3">
      <c r="A13" s="50" t="s">
        <v>103</v>
      </c>
      <c r="B13" s="17">
        <v>0.18</v>
      </c>
      <c r="C13" s="4"/>
      <c r="D13" s="134" t="s">
        <v>97</v>
      </c>
      <c r="E13" s="134"/>
      <c r="F13" s="134"/>
      <c r="G13" s="134"/>
      <c r="H13" s="134"/>
      <c r="I13" s="134"/>
      <c r="J13" s="134"/>
    </row>
    <row r="14" spans="1:10" x14ac:dyDescent="0.3">
      <c r="A14" s="50" t="s">
        <v>104</v>
      </c>
      <c r="B14" s="55">
        <v>1.0999999999999999E-2</v>
      </c>
      <c r="C14" s="4"/>
      <c r="D14" s="134" t="s">
        <v>105</v>
      </c>
      <c r="E14" s="134"/>
      <c r="F14" s="134"/>
      <c r="G14" s="134"/>
      <c r="H14" s="134"/>
      <c r="I14" s="134"/>
      <c r="J14" s="134"/>
    </row>
    <row r="15" spans="1:10" x14ac:dyDescent="0.3">
      <c r="A15" s="50" t="s">
        <v>106</v>
      </c>
      <c r="B15" s="55">
        <f>2.3%+B14</f>
        <v>3.4000000000000002E-2</v>
      </c>
      <c r="C15" s="4"/>
      <c r="D15" s="134" t="s">
        <v>107</v>
      </c>
      <c r="E15" s="134"/>
      <c r="F15" s="134"/>
      <c r="G15" s="134"/>
      <c r="H15" s="134"/>
      <c r="I15" s="134"/>
      <c r="J15" s="134"/>
    </row>
    <row r="16" spans="1:10" x14ac:dyDescent="0.3">
      <c r="A16" s="50" t="s">
        <v>108</v>
      </c>
      <c r="B16" s="56">
        <v>44.3</v>
      </c>
      <c r="C16" s="4" t="s">
        <v>88</v>
      </c>
      <c r="D16" s="134" t="s">
        <v>89</v>
      </c>
      <c r="E16" s="134"/>
      <c r="F16" s="134"/>
      <c r="G16" s="134"/>
      <c r="H16" s="134"/>
      <c r="I16" s="134"/>
      <c r="J16" s="134"/>
    </row>
    <row r="17" spans="1:10" ht="15.6" x14ac:dyDescent="0.35">
      <c r="A17" s="50" t="s">
        <v>109</v>
      </c>
      <c r="B17" s="51">
        <v>69.3</v>
      </c>
      <c r="C17" s="52" t="s">
        <v>91</v>
      </c>
      <c r="D17" s="134" t="s">
        <v>92</v>
      </c>
      <c r="E17" s="134"/>
      <c r="F17" s="134"/>
      <c r="G17" s="134"/>
      <c r="H17" s="134"/>
      <c r="I17" s="134"/>
      <c r="J17" s="134"/>
    </row>
    <row r="18" spans="1:10" x14ac:dyDescent="0.3">
      <c r="A18" s="50" t="s">
        <v>110</v>
      </c>
      <c r="B18" s="51">
        <v>0.74099999999999999</v>
      </c>
      <c r="C18" s="52" t="s">
        <v>94</v>
      </c>
      <c r="D18" s="134" t="s">
        <v>95</v>
      </c>
      <c r="E18" s="134"/>
      <c r="F18" s="134"/>
      <c r="G18" s="134"/>
      <c r="H18" s="134"/>
      <c r="I18" s="134"/>
      <c r="J18" s="134"/>
    </row>
    <row r="19" spans="1:10" x14ac:dyDescent="0.3">
      <c r="A19" s="50" t="s">
        <v>111</v>
      </c>
      <c r="B19" s="53">
        <v>0.19</v>
      </c>
      <c r="C19" s="54"/>
      <c r="D19" s="134" t="s">
        <v>97</v>
      </c>
      <c r="E19" s="134"/>
      <c r="F19" s="134"/>
      <c r="G19" s="134"/>
      <c r="H19" s="134"/>
      <c r="I19" s="134"/>
      <c r="J19" s="134"/>
    </row>
    <row r="20" spans="1:10" x14ac:dyDescent="0.3">
      <c r="A20" s="82" t="s">
        <v>112</v>
      </c>
      <c r="B20" s="57">
        <v>3.6</v>
      </c>
      <c r="C20" s="58" t="s">
        <v>113</v>
      </c>
      <c r="D20" s="163" t="s">
        <v>114</v>
      </c>
      <c r="E20" s="164"/>
      <c r="F20" s="164"/>
      <c r="G20" s="164"/>
      <c r="H20" s="164"/>
      <c r="I20" s="164"/>
      <c r="J20" s="164"/>
    </row>
    <row r="22" spans="1:10" x14ac:dyDescent="0.3">
      <c r="A22" s="3" t="s">
        <v>219</v>
      </c>
    </row>
    <row r="23" spans="1:10" ht="15.6" x14ac:dyDescent="0.35">
      <c r="A23" s="6" t="s">
        <v>220</v>
      </c>
      <c r="B23" s="7" t="s">
        <v>221</v>
      </c>
      <c r="C23" s="7" t="s">
        <v>222</v>
      </c>
      <c r="D23" s="7" t="s">
        <v>223</v>
      </c>
    </row>
    <row r="24" spans="1:10" x14ac:dyDescent="0.3">
      <c r="A24" s="4" t="s">
        <v>225</v>
      </c>
      <c r="B24" s="10" t="s">
        <v>224</v>
      </c>
      <c r="C24" s="46">
        <v>5.42</v>
      </c>
      <c r="D24" s="46">
        <v>4.6199999999999998E-2</v>
      </c>
    </row>
    <row r="25" spans="1:10" x14ac:dyDescent="0.3">
      <c r="A25" s="4" t="s">
        <v>225</v>
      </c>
      <c r="B25" s="10" t="s">
        <v>73</v>
      </c>
      <c r="C25" s="46">
        <v>2.5</v>
      </c>
      <c r="D25" s="46">
        <v>5.0000000000000001E-3</v>
      </c>
    </row>
    <row r="26" spans="1:10" x14ac:dyDescent="0.3">
      <c r="A26" t="s">
        <v>226</v>
      </c>
    </row>
  </sheetData>
  <mergeCells count="16">
    <mergeCell ref="D17:J17"/>
    <mergeCell ref="D18:J18"/>
    <mergeCell ref="D19:J19"/>
    <mergeCell ref="D20:J20"/>
    <mergeCell ref="D16:J16"/>
    <mergeCell ref="D5:J5"/>
    <mergeCell ref="D6:J6"/>
    <mergeCell ref="D7:J7"/>
    <mergeCell ref="D8:J8"/>
    <mergeCell ref="D9:J9"/>
    <mergeCell ref="D15:J15"/>
    <mergeCell ref="D10:J10"/>
    <mergeCell ref="D11:J11"/>
    <mergeCell ref="D12:J12"/>
    <mergeCell ref="D13:J13"/>
    <mergeCell ref="D14:J14"/>
  </mergeCells>
  <hyperlinks>
    <hyperlink ref="D20" r:id="rId1" location=":~:text=Power%20units%20can%20be%20converted,%3D%203.6%20MJ%20%5BMegaJoule%5D.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>
      <selection activeCell="A12" sqref="A12"/>
    </sheetView>
  </sheetViews>
  <sheetFormatPr baseColWidth="10" defaultColWidth="9.109375" defaultRowHeight="14.4" x14ac:dyDescent="0.3"/>
  <cols>
    <col min="1" max="1" width="27.109375" customWidth="1"/>
    <col min="2" max="2" width="14.5546875" customWidth="1"/>
    <col min="3" max="3" width="13.77734375" style="2" customWidth="1"/>
  </cols>
  <sheetData>
    <row r="2" spans="1:2" x14ac:dyDescent="0.3">
      <c r="A2" s="3" t="s">
        <v>67</v>
      </c>
    </row>
    <row r="3" spans="1:2" x14ac:dyDescent="0.3">
      <c r="A3" s="6" t="s">
        <v>68</v>
      </c>
      <c r="B3" s="7" t="s">
        <v>3</v>
      </c>
    </row>
    <row r="4" spans="1:2" x14ac:dyDescent="0.3">
      <c r="A4" s="4" t="s">
        <v>69</v>
      </c>
      <c r="B4" s="46">
        <v>0.28799999999999998</v>
      </c>
    </row>
    <row r="5" spans="1:2" x14ac:dyDescent="0.3">
      <c r="A5" s="4" t="s">
        <v>47</v>
      </c>
      <c r="B5" s="46">
        <v>0.15</v>
      </c>
    </row>
    <row r="6" spans="1:2" x14ac:dyDescent="0.3">
      <c r="A6" s="4" t="s">
        <v>48</v>
      </c>
      <c r="B6" s="46">
        <v>0.20799999999999999</v>
      </c>
    </row>
    <row r="7" spans="1:2" x14ac:dyDescent="0.3">
      <c r="A7" s="4" t="s">
        <v>49</v>
      </c>
      <c r="B7" s="46">
        <v>3.9E-2</v>
      </c>
    </row>
    <row r="8" spans="1:2" x14ac:dyDescent="0.3">
      <c r="A8" s="4" t="s">
        <v>70</v>
      </c>
      <c r="B8" s="46">
        <v>0.42599999999999999</v>
      </c>
    </row>
    <row r="9" spans="1:2" x14ac:dyDescent="0.3">
      <c r="A9" s="4" t="s">
        <v>50</v>
      </c>
      <c r="B9" s="46">
        <v>0.35899999999999999</v>
      </c>
    </row>
    <row r="10" spans="1:2" x14ac:dyDescent="0.3">
      <c r="A10" s="4" t="s">
        <v>71</v>
      </c>
      <c r="B10" s="46">
        <v>0.252</v>
      </c>
    </row>
    <row r="11" spans="1:2" x14ac:dyDescent="0.3">
      <c r="A11" s="4" t="s">
        <v>362</v>
      </c>
      <c r="B11" s="46">
        <f>MEDIAN(B4:B10)</f>
        <v>0.252</v>
      </c>
    </row>
    <row r="12" spans="1:2" x14ac:dyDescent="0.3">
      <c r="A12" t="s">
        <v>137</v>
      </c>
    </row>
    <row r="13" spans="1:2" x14ac:dyDescent="0.3">
      <c r="A13" t="s">
        <v>321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D15" sqref="D15:K15"/>
    </sheetView>
  </sheetViews>
  <sheetFormatPr baseColWidth="10" defaultColWidth="9.109375" defaultRowHeight="14.4" x14ac:dyDescent="0.3"/>
  <cols>
    <col min="1" max="1" width="54.5546875" customWidth="1"/>
    <col min="2" max="2" width="9.109375" style="2"/>
    <col min="3" max="3" width="11.21875" customWidth="1"/>
    <col min="6" max="6" width="11.77734375" bestFit="1" customWidth="1"/>
    <col min="11" max="11" width="16.21875" customWidth="1"/>
  </cols>
  <sheetData>
    <row r="1" spans="1:11" ht="21" x14ac:dyDescent="0.4">
      <c r="A1" s="1" t="s">
        <v>299</v>
      </c>
    </row>
    <row r="2" spans="1:11" ht="21" x14ac:dyDescent="0.4">
      <c r="A2" s="1"/>
    </row>
    <row r="3" spans="1:11" x14ac:dyDescent="0.3">
      <c r="A3" s="3" t="s">
        <v>309</v>
      </c>
    </row>
    <row r="4" spans="1:11" x14ac:dyDescent="0.3">
      <c r="A4" s="59" t="s">
        <v>2</v>
      </c>
      <c r="B4" s="44" t="s">
        <v>3</v>
      </c>
      <c r="C4" s="49" t="s">
        <v>80</v>
      </c>
      <c r="D4" s="132" t="s">
        <v>81</v>
      </c>
      <c r="E4" s="132"/>
      <c r="F4" s="132"/>
      <c r="G4" s="132"/>
      <c r="H4" s="132"/>
      <c r="I4" s="132"/>
      <c r="J4" s="132"/>
      <c r="K4" s="132"/>
    </row>
    <row r="5" spans="1:11" x14ac:dyDescent="0.3">
      <c r="A5" s="4" t="s">
        <v>300</v>
      </c>
      <c r="B5" s="17">
        <v>0.2</v>
      </c>
      <c r="C5" s="4"/>
      <c r="D5" s="133" t="s">
        <v>301</v>
      </c>
      <c r="E5" s="133"/>
      <c r="F5" s="133"/>
      <c r="G5" s="133"/>
      <c r="H5" s="133"/>
      <c r="I5" s="133"/>
      <c r="J5" s="133"/>
      <c r="K5" s="133"/>
    </row>
    <row r="6" spans="1:11" ht="44.25" customHeight="1" x14ac:dyDescent="0.3">
      <c r="A6" s="119" t="s">
        <v>302</v>
      </c>
      <c r="B6" s="84">
        <v>1</v>
      </c>
      <c r="C6" s="119"/>
      <c r="D6" s="134" t="s">
        <v>310</v>
      </c>
      <c r="E6" s="134"/>
      <c r="F6" s="134"/>
      <c r="G6" s="134"/>
      <c r="H6" s="134"/>
      <c r="I6" s="134"/>
      <c r="J6" s="134"/>
      <c r="K6" s="134"/>
    </row>
    <row r="7" spans="1:11" x14ac:dyDescent="0.3">
      <c r="A7" s="4" t="s">
        <v>303</v>
      </c>
      <c r="B7" s="10">
        <v>25</v>
      </c>
      <c r="C7" s="4" t="s">
        <v>83</v>
      </c>
      <c r="D7" s="133" t="s">
        <v>311</v>
      </c>
      <c r="E7" s="133"/>
      <c r="F7" s="133"/>
      <c r="G7" s="133"/>
      <c r="H7" s="133"/>
      <c r="I7" s="133"/>
      <c r="J7" s="133"/>
      <c r="K7" s="133"/>
    </row>
    <row r="8" spans="1:11" x14ac:dyDescent="0.3">
      <c r="A8" s="4" t="s">
        <v>312</v>
      </c>
      <c r="B8" s="94">
        <v>26.5</v>
      </c>
      <c r="C8" s="4" t="s">
        <v>313</v>
      </c>
      <c r="D8" s="135" t="s">
        <v>314</v>
      </c>
      <c r="E8" s="135"/>
      <c r="F8" s="135"/>
      <c r="G8" s="135"/>
      <c r="H8" s="135"/>
      <c r="I8" s="135"/>
      <c r="J8" s="135"/>
      <c r="K8" s="135"/>
    </row>
    <row r="9" spans="1:11" x14ac:dyDescent="0.3">
      <c r="A9" s="4" t="s">
        <v>315</v>
      </c>
      <c r="B9" s="94">
        <v>2</v>
      </c>
      <c r="C9" s="4" t="s">
        <v>313</v>
      </c>
      <c r="D9" s="135"/>
      <c r="E9" s="135"/>
      <c r="F9" s="135"/>
      <c r="G9" s="135"/>
      <c r="H9" s="135"/>
      <c r="I9" s="135"/>
      <c r="J9" s="135"/>
      <c r="K9" s="135"/>
    </row>
    <row r="10" spans="1:11" x14ac:dyDescent="0.3">
      <c r="A10" s="4" t="s">
        <v>322</v>
      </c>
      <c r="B10" s="5">
        <f>'Bus Brazil'!C71/'PT impact'!B8</f>
        <v>6.2264150943396226</v>
      </c>
      <c r="C10" s="4" t="s">
        <v>304</v>
      </c>
      <c r="D10" s="133" t="s">
        <v>316</v>
      </c>
      <c r="E10" s="133"/>
      <c r="F10" s="133"/>
      <c r="G10" s="133"/>
      <c r="H10" s="133"/>
      <c r="I10" s="133"/>
      <c r="J10" s="133"/>
      <c r="K10" s="133"/>
    </row>
    <row r="11" spans="1:11" x14ac:dyDescent="0.3">
      <c r="A11" s="4" t="s">
        <v>323</v>
      </c>
      <c r="B11" s="5">
        <f>'Bus Colombia'!C73/'PT impact'!B8</f>
        <v>8.6339622641509433</v>
      </c>
      <c r="C11" s="4" t="s">
        <v>304</v>
      </c>
      <c r="D11" s="133" t="s">
        <v>316</v>
      </c>
      <c r="E11" s="133"/>
      <c r="F11" s="133"/>
      <c r="G11" s="133"/>
      <c r="H11" s="133"/>
      <c r="I11" s="133"/>
      <c r="J11" s="133"/>
      <c r="K11" s="133"/>
    </row>
    <row r="12" spans="1:11" x14ac:dyDescent="0.3">
      <c r="A12" s="4" t="s">
        <v>305</v>
      </c>
      <c r="B12" s="5">
        <f>7/100*defaults!B18*defaults!B17*defaults!B16*(100%+defaults!B19)/B9</f>
        <v>94.748026873499995</v>
      </c>
      <c r="C12" s="4" t="s">
        <v>304</v>
      </c>
      <c r="D12" s="133" t="s">
        <v>317</v>
      </c>
      <c r="E12" s="133"/>
      <c r="F12" s="133"/>
      <c r="G12" s="133"/>
      <c r="H12" s="133"/>
      <c r="I12" s="133"/>
      <c r="J12" s="133"/>
      <c r="K12" s="133"/>
    </row>
    <row r="13" spans="1:11" x14ac:dyDescent="0.3">
      <c r="A13" s="4" t="s">
        <v>306</v>
      </c>
      <c r="B13" s="15">
        <f>'Bus Brazil'!B6*defaults!B20/B8</f>
        <v>0.14943396226415095</v>
      </c>
      <c r="C13" s="4" t="s">
        <v>307</v>
      </c>
      <c r="D13" s="133" t="s">
        <v>249</v>
      </c>
      <c r="E13" s="133"/>
      <c r="F13" s="133"/>
      <c r="G13" s="133"/>
      <c r="H13" s="133"/>
      <c r="I13" s="133"/>
      <c r="J13" s="133"/>
      <c r="K13" s="133"/>
    </row>
    <row r="14" spans="1:11" x14ac:dyDescent="0.3">
      <c r="A14" s="4" t="s">
        <v>308</v>
      </c>
      <c r="B14" s="15">
        <f>7/100*defaults!B18*defaults!B16/'PT impact'!B9</f>
        <v>1.1489205</v>
      </c>
      <c r="C14" s="4" t="s">
        <v>307</v>
      </c>
      <c r="D14" s="133" t="s">
        <v>249</v>
      </c>
      <c r="E14" s="133"/>
      <c r="F14" s="133"/>
      <c r="G14" s="133"/>
      <c r="H14" s="133"/>
      <c r="I14" s="133"/>
      <c r="J14" s="133"/>
      <c r="K14" s="133"/>
    </row>
    <row r="15" spans="1:11" x14ac:dyDescent="0.3">
      <c r="A15" s="4" t="s">
        <v>337</v>
      </c>
      <c r="B15" s="22">
        <v>11.8</v>
      </c>
      <c r="C15" s="4" t="s">
        <v>84</v>
      </c>
      <c r="D15" s="136" t="s">
        <v>338</v>
      </c>
      <c r="E15" s="137"/>
      <c r="F15" s="137"/>
      <c r="G15" s="137"/>
      <c r="H15" s="137"/>
      <c r="I15" s="137"/>
      <c r="J15" s="137"/>
      <c r="K15" s="137"/>
    </row>
  </sheetData>
  <mergeCells count="11">
    <mergeCell ref="D11:K11"/>
    <mergeCell ref="D15:K15"/>
    <mergeCell ref="D10:K10"/>
    <mergeCell ref="D12:K12"/>
    <mergeCell ref="D13:K13"/>
    <mergeCell ref="D14:K14"/>
    <mergeCell ref="D4:K4"/>
    <mergeCell ref="D5:K5"/>
    <mergeCell ref="D6:K6"/>
    <mergeCell ref="D7:K7"/>
    <mergeCell ref="D8:K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9"/>
  <sheetViews>
    <sheetView topLeftCell="A12" zoomScale="70" zoomScaleNormal="70" workbookViewId="0">
      <selection activeCell="D39" sqref="D39"/>
    </sheetView>
  </sheetViews>
  <sheetFormatPr baseColWidth="10" defaultColWidth="9.109375" defaultRowHeight="14.4" x14ac:dyDescent="0.3"/>
  <cols>
    <col min="1" max="1" width="33.5546875" customWidth="1"/>
    <col min="2" max="2" width="15.77734375" customWidth="1"/>
    <col min="3" max="3" width="12.21875" customWidth="1"/>
    <col min="4" max="5" width="16" style="2" customWidth="1"/>
    <col min="6" max="6" width="13.77734375" style="2" customWidth="1"/>
    <col min="7" max="7" width="21.33203125" style="2" customWidth="1"/>
    <col min="8" max="8" width="10.77734375" style="2" bestFit="1" customWidth="1"/>
    <col min="9" max="9" width="10.5546875" style="2" customWidth="1"/>
    <col min="10" max="10" width="11.21875" customWidth="1"/>
  </cols>
  <sheetData>
    <row r="1" spans="1:11" ht="21" x14ac:dyDescent="0.4">
      <c r="A1" s="1" t="s">
        <v>36</v>
      </c>
      <c r="B1" s="1"/>
      <c r="C1" s="1"/>
    </row>
    <row r="2" spans="1:11" ht="21" x14ac:dyDescent="0.4">
      <c r="A2" s="1"/>
      <c r="B2" s="1"/>
      <c r="C2" s="1"/>
    </row>
    <row r="3" spans="1:11" x14ac:dyDescent="0.3">
      <c r="A3" s="11" t="s">
        <v>1</v>
      </c>
      <c r="B3" s="3"/>
      <c r="C3" s="3"/>
      <c r="G3" s="129"/>
      <c r="H3" s="129"/>
      <c r="I3" s="3"/>
    </row>
    <row r="4" spans="1:11" x14ac:dyDescent="0.3">
      <c r="A4" s="3"/>
      <c r="B4" s="3"/>
      <c r="C4" s="3"/>
    </row>
    <row r="5" spans="1:11" x14ac:dyDescent="0.3">
      <c r="A5" s="6" t="s">
        <v>2</v>
      </c>
      <c r="B5" s="7" t="s">
        <v>3</v>
      </c>
      <c r="C5" s="3"/>
      <c r="E5" s="25"/>
      <c r="F5" s="25"/>
      <c r="G5" s="3"/>
    </row>
    <row r="6" spans="1:11" x14ac:dyDescent="0.3">
      <c r="A6" s="4" t="s">
        <v>5</v>
      </c>
      <c r="B6" s="5">
        <f>ROUND(('Bus Brazil'!H42+'Bus Brazil'!I42)/2,-3)</f>
        <v>315000</v>
      </c>
      <c r="E6" s="8"/>
      <c r="F6" s="25"/>
      <c r="G6" s="3"/>
      <c r="H6" s="25"/>
    </row>
    <row r="7" spans="1:11" x14ac:dyDescent="0.3">
      <c r="A7" s="4" t="s">
        <v>4</v>
      </c>
      <c r="B7" s="5">
        <f>B11*'Bus Brazil'!B72</f>
        <v>1886.62788445824</v>
      </c>
      <c r="E7" s="8"/>
      <c r="F7" s="8"/>
      <c r="G7"/>
      <c r="H7" s="35"/>
    </row>
    <row r="8" spans="1:11" x14ac:dyDescent="0.3">
      <c r="A8" s="4" t="s">
        <v>18</v>
      </c>
      <c r="B8" s="15">
        <f>B11*defaults!D24*'Bus Brazil'!B4/10^6</f>
        <v>4.8787199999999996E-2</v>
      </c>
      <c r="E8" s="8"/>
      <c r="F8" s="8"/>
      <c r="G8"/>
      <c r="H8" s="35"/>
    </row>
    <row r="9" spans="1:11" x14ac:dyDescent="0.3">
      <c r="A9" s="4" t="s">
        <v>19</v>
      </c>
      <c r="B9" s="14">
        <f>B11*defaults!C24*'Bus Brazil'!B4/10^6</f>
        <v>5.7235199999999997</v>
      </c>
      <c r="E9" s="8"/>
      <c r="F9" s="8"/>
      <c r="G9" s="143"/>
      <c r="H9" s="144"/>
    </row>
    <row r="10" spans="1:11" x14ac:dyDescent="0.3">
      <c r="A10" s="4" t="s">
        <v>20</v>
      </c>
      <c r="B10" s="5">
        <f>'Bus Brazil'!B77/1000*Brazil!B11</f>
        <v>18.42960768</v>
      </c>
      <c r="E10" s="8"/>
      <c r="F10" s="8"/>
      <c r="G10" s="143"/>
      <c r="H10" s="144"/>
      <c r="K10" s="35"/>
    </row>
    <row r="11" spans="1:11" x14ac:dyDescent="0.3">
      <c r="A11" s="4" t="s">
        <v>77</v>
      </c>
      <c r="B11" s="5">
        <f>'Bus Brazil'!B10</f>
        <v>16</v>
      </c>
      <c r="E11" s="8"/>
      <c r="F11" s="8"/>
      <c r="G11" s="36"/>
      <c r="J11" s="8"/>
      <c r="K11" s="2"/>
    </row>
    <row r="12" spans="1:11" x14ac:dyDescent="0.3">
      <c r="B12" s="8"/>
      <c r="E12" s="8"/>
      <c r="F12" s="8"/>
      <c r="G12"/>
      <c r="H12" s="35"/>
      <c r="J12" s="143"/>
      <c r="K12" s="144"/>
    </row>
    <row r="13" spans="1:11" x14ac:dyDescent="0.3">
      <c r="E13" s="8"/>
      <c r="F13" s="8"/>
      <c r="G13"/>
      <c r="H13" s="35"/>
      <c r="J13" s="143"/>
      <c r="K13" s="144"/>
    </row>
    <row r="14" spans="1:11" x14ac:dyDescent="0.3">
      <c r="B14" s="8"/>
      <c r="E14" s="8"/>
      <c r="F14" s="8"/>
      <c r="G14"/>
      <c r="H14" s="35"/>
      <c r="J14" s="36"/>
      <c r="K14" s="2"/>
    </row>
    <row r="15" spans="1:11" x14ac:dyDescent="0.3">
      <c r="B15" s="8"/>
      <c r="E15" s="8"/>
      <c r="F15" s="8"/>
      <c r="G15"/>
      <c r="H15" s="35"/>
    </row>
    <row r="16" spans="1:11" x14ac:dyDescent="0.3">
      <c r="E16" s="27"/>
      <c r="F16" s="8"/>
      <c r="G16" s="36"/>
      <c r="H16" s="120"/>
    </row>
    <row r="17" spans="1:26" x14ac:dyDescent="0.3">
      <c r="E17" s="26"/>
      <c r="F17" s="8"/>
    </row>
    <row r="18" spans="1:26" x14ac:dyDescent="0.3">
      <c r="E18" s="8"/>
      <c r="F18" s="8"/>
      <c r="G18" s="78"/>
      <c r="H18" s="120"/>
    </row>
    <row r="19" spans="1:26" x14ac:dyDescent="0.3">
      <c r="E19" s="8"/>
      <c r="F19" s="8"/>
    </row>
    <row r="20" spans="1:26" x14ac:dyDescent="0.3">
      <c r="A20" s="12" t="s">
        <v>6</v>
      </c>
      <c r="B20" s="37"/>
      <c r="C20" s="37"/>
      <c r="D20" s="8"/>
      <c r="E20" s="8"/>
      <c r="F20" s="8"/>
      <c r="G20" s="8"/>
    </row>
    <row r="21" spans="1:26" x14ac:dyDescent="0.3">
      <c r="A21" s="12" t="s">
        <v>37</v>
      </c>
      <c r="B21" s="37"/>
      <c r="C21" s="37"/>
      <c r="D21" s="8"/>
      <c r="E21" s="8"/>
      <c r="F21" s="8"/>
      <c r="G21" s="8"/>
    </row>
    <row r="22" spans="1:26" x14ac:dyDescent="0.3">
      <c r="D22" s="8"/>
      <c r="E22" s="8"/>
      <c r="F22" s="8"/>
      <c r="G22" s="8"/>
    </row>
    <row r="23" spans="1:26" x14ac:dyDescent="0.3">
      <c r="A23" s="11" t="s">
        <v>10</v>
      </c>
      <c r="B23" s="3"/>
      <c r="C23" s="3"/>
      <c r="D23" s="8"/>
      <c r="E23" s="8"/>
      <c r="F23" s="8"/>
      <c r="G23" s="8"/>
    </row>
    <row r="24" spans="1:26" x14ac:dyDescent="0.3">
      <c r="A24" s="138" t="s">
        <v>7</v>
      </c>
      <c r="B24" s="145" t="s">
        <v>14</v>
      </c>
      <c r="C24" s="145"/>
      <c r="D24" s="145"/>
      <c r="E24" s="145"/>
      <c r="F24" s="145"/>
      <c r="G24" s="147" t="s">
        <v>21</v>
      </c>
      <c r="H24" s="139" t="s">
        <v>9</v>
      </c>
      <c r="I24" s="139"/>
      <c r="J24" s="139"/>
      <c r="K24" s="139"/>
      <c r="L24" s="139"/>
      <c r="M24" s="139"/>
      <c r="N24" s="139"/>
      <c r="O24" s="139"/>
      <c r="P24" s="139" t="s">
        <v>231</v>
      </c>
      <c r="Q24" s="139"/>
      <c r="R24" s="139"/>
      <c r="S24" s="139"/>
      <c r="T24" s="139"/>
      <c r="U24" s="139"/>
      <c r="V24" s="139"/>
      <c r="W24" s="139"/>
      <c r="X24" s="146" t="s">
        <v>11</v>
      </c>
      <c r="Y24" s="146" t="s">
        <v>12</v>
      </c>
      <c r="Z24" s="146" t="s">
        <v>13</v>
      </c>
    </row>
    <row r="25" spans="1:26" x14ac:dyDescent="0.3">
      <c r="A25" s="138"/>
      <c r="B25" s="16" t="s">
        <v>38</v>
      </c>
      <c r="C25" s="16" t="s">
        <v>39</v>
      </c>
      <c r="D25" s="16" t="s">
        <v>15</v>
      </c>
      <c r="E25" s="16" t="s">
        <v>16</v>
      </c>
      <c r="F25" s="16">
        <v>26</v>
      </c>
      <c r="G25" s="147"/>
      <c r="H25" s="7" t="s">
        <v>363</v>
      </c>
      <c r="I25" s="7" t="s">
        <v>364</v>
      </c>
      <c r="J25" s="7" t="s">
        <v>365</v>
      </c>
      <c r="K25" s="7" t="s">
        <v>366</v>
      </c>
      <c r="L25" s="7" t="s">
        <v>367</v>
      </c>
      <c r="M25" s="127" t="s">
        <v>375</v>
      </c>
      <c r="N25" s="127" t="s">
        <v>376</v>
      </c>
      <c r="O25" s="7" t="s">
        <v>17</v>
      </c>
      <c r="P25" s="7" t="s">
        <v>363</v>
      </c>
      <c r="Q25" s="7" t="s">
        <v>364</v>
      </c>
      <c r="R25" s="7" t="s">
        <v>365</v>
      </c>
      <c r="S25" s="7" t="s">
        <v>366</v>
      </c>
      <c r="T25" s="7" t="s">
        <v>367</v>
      </c>
      <c r="U25" s="127" t="s">
        <v>375</v>
      </c>
      <c r="V25" s="127" t="s">
        <v>376</v>
      </c>
      <c r="W25" s="7" t="s">
        <v>17</v>
      </c>
      <c r="X25" s="146"/>
      <c r="Y25" s="146"/>
      <c r="Z25" s="146"/>
    </row>
    <row r="26" spans="1:26" x14ac:dyDescent="0.3">
      <c r="A26" s="4" t="s">
        <v>133</v>
      </c>
      <c r="B26" s="10">
        <v>3</v>
      </c>
      <c r="C26" s="10"/>
      <c r="D26" s="32">
        <v>312</v>
      </c>
      <c r="E26" s="5">
        <v>43</v>
      </c>
      <c r="F26" s="5"/>
      <c r="G26" s="17">
        <v>0.95</v>
      </c>
      <c r="H26" s="10"/>
      <c r="I26" s="5"/>
      <c r="J26" s="22">
        <f>(D26*$B$6)/10^6*G26</f>
        <v>93.366</v>
      </c>
      <c r="K26" s="4"/>
      <c r="L26" s="4"/>
      <c r="M26" s="4"/>
      <c r="N26" s="4"/>
      <c r="O26" s="22">
        <f t="shared" ref="O26:O27" si="0">SUM(I26:L26)</f>
        <v>93.366</v>
      </c>
      <c r="P26" s="4"/>
      <c r="Q26" s="4"/>
      <c r="R26" s="5">
        <f>D26*G26*B7</f>
        <v>559196.50495342235</v>
      </c>
      <c r="S26" s="4"/>
      <c r="T26" s="4"/>
      <c r="U26" s="4"/>
      <c r="V26" s="4"/>
      <c r="W26" s="5">
        <f t="shared" ref="W26:W27" si="1">SUM(P26:T26)</f>
        <v>559196.50495342235</v>
      </c>
      <c r="X26" s="22">
        <f>D26*$B$8*G26</f>
        <v>14.460526079999998</v>
      </c>
      <c r="Y26" s="5">
        <f>D26*$B$9*G26</f>
        <v>1696.4513279999999</v>
      </c>
      <c r="Z26" s="5">
        <f>D26*$B$10*G26</f>
        <v>5462.5357163520002</v>
      </c>
    </row>
    <row r="27" spans="1:26" x14ac:dyDescent="0.3">
      <c r="A27" s="18" t="s">
        <v>17</v>
      </c>
      <c r="B27" s="28">
        <f>SUM(B26:B26)</f>
        <v>3</v>
      </c>
      <c r="C27" s="28">
        <f>SUM(C26:C26)</f>
        <v>0</v>
      </c>
      <c r="D27" s="19">
        <f>SUM(D26:D26)</f>
        <v>312</v>
      </c>
      <c r="E27" s="28">
        <f>SUM(E26:E26)</f>
        <v>43</v>
      </c>
      <c r="F27" s="28">
        <f>SUM(F26:F26)</f>
        <v>0</v>
      </c>
      <c r="G27" s="10"/>
      <c r="H27" s="28">
        <f>SUM(H26:H26)</f>
        <v>0</v>
      </c>
      <c r="I27" s="20">
        <f>SUM(I26:I26)</f>
        <v>0</v>
      </c>
      <c r="J27" s="20">
        <f>SUM(J26:J26)</f>
        <v>93.366</v>
      </c>
      <c r="K27" s="20">
        <f>SUM(K26:K26)</f>
        <v>0</v>
      </c>
      <c r="L27" s="28">
        <f>SUM(L26:L26)</f>
        <v>0</v>
      </c>
      <c r="M27" s="28">
        <v>0</v>
      </c>
      <c r="N27" s="28">
        <v>0</v>
      </c>
      <c r="O27" s="20">
        <f t="shared" si="0"/>
        <v>93.366</v>
      </c>
      <c r="P27" s="19">
        <f>SUM(P26:P26)</f>
        <v>0</v>
      </c>
      <c r="Q27" s="19">
        <f>SUM(Q26:Q26)</f>
        <v>0</v>
      </c>
      <c r="R27" s="19">
        <f>SUM(R26:R26)</f>
        <v>559196.50495342235</v>
      </c>
      <c r="S27" s="19">
        <f>SUM(S26:S26)</f>
        <v>0</v>
      </c>
      <c r="T27" s="19">
        <f>SUM(T26:T26)</f>
        <v>0</v>
      </c>
      <c r="U27" s="19">
        <v>0</v>
      </c>
      <c r="V27" s="19">
        <v>0</v>
      </c>
      <c r="W27" s="19">
        <f t="shared" si="1"/>
        <v>559196.50495342235</v>
      </c>
      <c r="X27" s="20">
        <f>SUM(X26:X26)</f>
        <v>14.460526079999998</v>
      </c>
      <c r="Y27" s="19">
        <f>SUM(Y26:Y26)</f>
        <v>1696.4513279999999</v>
      </c>
      <c r="Z27" s="19">
        <f>SUM(Z26:Z26)</f>
        <v>5462.5357163520002</v>
      </c>
    </row>
    <row r="28" spans="1:26" x14ac:dyDescent="0.3">
      <c r="B28" s="2"/>
      <c r="C28" s="2"/>
    </row>
    <row r="30" spans="1:26" x14ac:dyDescent="0.3">
      <c r="A30" s="3" t="s">
        <v>325</v>
      </c>
      <c r="B30" s="43"/>
    </row>
    <row r="31" spans="1:26" x14ac:dyDescent="0.3">
      <c r="A31" s="4" t="s">
        <v>326</v>
      </c>
      <c r="B31" s="5">
        <f>5.5*12*10^6</f>
        <v>66000000</v>
      </c>
      <c r="C31" s="4" t="s">
        <v>313</v>
      </c>
      <c r="E31" s="121" t="s">
        <v>336</v>
      </c>
    </row>
    <row r="32" spans="1:26" x14ac:dyDescent="0.3">
      <c r="A32" s="4" t="s">
        <v>327</v>
      </c>
      <c r="B32" s="5">
        <f>B31*'PT impact'!B5*('PT impact'!B12-'PT impact'!B10)*'PT impact'!B15/10^6</f>
        <v>13788.126250722022</v>
      </c>
      <c r="C32" s="4" t="s">
        <v>328</v>
      </c>
    </row>
    <row r="33" spans="1:28" x14ac:dyDescent="0.3">
      <c r="A33" s="4" t="s">
        <v>329</v>
      </c>
      <c r="B33" s="5">
        <f>B32*'PT impact'!B7</f>
        <v>344703.15626805054</v>
      </c>
      <c r="C33" s="4" t="s">
        <v>328</v>
      </c>
    </row>
    <row r="34" spans="1:28" x14ac:dyDescent="0.3">
      <c r="A34" s="4" t="s">
        <v>330</v>
      </c>
      <c r="B34" s="5">
        <f>B31*'PT impact'!B5*'PT impact'!B15*('PT impact'!B14-'PT impact'!B13)/10^6</f>
        <v>155.68002311773586</v>
      </c>
      <c r="C34" s="4" t="s">
        <v>136</v>
      </c>
    </row>
    <row r="35" spans="1:28" x14ac:dyDescent="0.3">
      <c r="A35" s="4" t="s">
        <v>331</v>
      </c>
      <c r="B35" s="5">
        <f>B34*'PT impact'!B7</f>
        <v>3892.0005779433964</v>
      </c>
      <c r="C35" s="4" t="s">
        <v>136</v>
      </c>
    </row>
    <row r="38" spans="1:28" x14ac:dyDescent="0.3">
      <c r="A38" s="6" t="s">
        <v>340</v>
      </c>
      <c r="B38" s="7">
        <v>1</v>
      </c>
      <c r="C38" s="7">
        <v>2</v>
      </c>
      <c r="D38" s="7">
        <v>3</v>
      </c>
      <c r="E38" s="7">
        <v>4</v>
      </c>
      <c r="F38" s="7">
        <v>5</v>
      </c>
      <c r="G38" s="127">
        <v>6</v>
      </c>
      <c r="H38" s="127">
        <v>7</v>
      </c>
      <c r="I38" s="7" t="s">
        <v>339</v>
      </c>
    </row>
    <row r="39" spans="1:28" x14ac:dyDescent="0.3">
      <c r="A39" s="4" t="s">
        <v>332</v>
      </c>
      <c r="B39" s="10">
        <v>0</v>
      </c>
      <c r="C39" s="10">
        <v>0</v>
      </c>
      <c r="D39" s="5">
        <f>B32+R26/'Bus Brazil'!B10</f>
        <v>48737.90781031092</v>
      </c>
      <c r="E39" s="5">
        <f t="shared" ref="E39:F42" si="2">D39</f>
        <v>48737.90781031092</v>
      </c>
      <c r="F39" s="5">
        <f t="shared" si="2"/>
        <v>48737.90781031092</v>
      </c>
      <c r="G39" s="5">
        <f t="shared" ref="G39:G42" si="3">F39</f>
        <v>48737.90781031092</v>
      </c>
      <c r="H39" s="5">
        <f t="shared" ref="H39:H42" si="4">G39</f>
        <v>48737.90781031092</v>
      </c>
      <c r="I39" s="5">
        <f>B33+R26</f>
        <v>903899.6612214729</v>
      </c>
    </row>
    <row r="40" spans="1:28" x14ac:dyDescent="0.3">
      <c r="A40" s="4" t="s">
        <v>333</v>
      </c>
      <c r="B40" s="10">
        <v>0</v>
      </c>
      <c r="C40" s="10">
        <v>0</v>
      </c>
      <c r="D40" s="122">
        <f>X26/B11</f>
        <v>0.90378287999999984</v>
      </c>
      <c r="E40" s="122">
        <f t="shared" si="2"/>
        <v>0.90378287999999984</v>
      </c>
      <c r="F40" s="122">
        <f t="shared" si="2"/>
        <v>0.90378287999999984</v>
      </c>
      <c r="G40" s="122">
        <f t="shared" si="3"/>
        <v>0.90378287999999984</v>
      </c>
      <c r="H40" s="122">
        <f t="shared" si="4"/>
        <v>0.90378287999999984</v>
      </c>
      <c r="I40" s="22">
        <f>X26</f>
        <v>14.460526079999998</v>
      </c>
    </row>
    <row r="41" spans="1:28" x14ac:dyDescent="0.3">
      <c r="A41" s="4" t="s">
        <v>334</v>
      </c>
      <c r="B41" s="10">
        <v>0</v>
      </c>
      <c r="C41" s="10">
        <v>0</v>
      </c>
      <c r="D41" s="22">
        <f>Y26/B11</f>
        <v>106.02820799999999</v>
      </c>
      <c r="E41" s="22">
        <f t="shared" si="2"/>
        <v>106.02820799999999</v>
      </c>
      <c r="F41" s="22">
        <f t="shared" si="2"/>
        <v>106.02820799999999</v>
      </c>
      <c r="G41" s="22">
        <f t="shared" si="3"/>
        <v>106.02820799999999</v>
      </c>
      <c r="H41" s="22">
        <f t="shared" si="4"/>
        <v>106.02820799999999</v>
      </c>
      <c r="I41" s="5">
        <f>Y26</f>
        <v>1696.4513279999999</v>
      </c>
    </row>
    <row r="42" spans="1:28" x14ac:dyDescent="0.3">
      <c r="A42" s="4" t="s">
        <v>335</v>
      </c>
      <c r="B42" s="10">
        <v>0</v>
      </c>
      <c r="C42" s="10">
        <v>0</v>
      </c>
      <c r="D42" s="22">
        <f>Z26/B11+B34</f>
        <v>497.08850538973587</v>
      </c>
      <c r="E42" s="22">
        <f t="shared" si="2"/>
        <v>497.08850538973587</v>
      </c>
      <c r="F42" s="22">
        <f t="shared" si="2"/>
        <v>497.08850538973587</v>
      </c>
      <c r="G42" s="22">
        <f t="shared" si="3"/>
        <v>497.08850538973587</v>
      </c>
      <c r="H42" s="22">
        <f t="shared" si="4"/>
        <v>497.08850538973587</v>
      </c>
      <c r="I42" s="5">
        <f>B35+Z26</f>
        <v>9354.5362942953961</v>
      </c>
    </row>
    <row r="47" spans="1:28" x14ac:dyDescent="0.3">
      <c r="A47" s="3" t="s">
        <v>357</v>
      </c>
    </row>
    <row r="48" spans="1:28" x14ac:dyDescent="0.3">
      <c r="A48" s="7">
        <v>1</v>
      </c>
      <c r="B48" s="7">
        <v>2</v>
      </c>
      <c r="C48" s="7">
        <v>3</v>
      </c>
      <c r="D48" s="7">
        <v>4</v>
      </c>
      <c r="E48" s="7">
        <v>5</v>
      </c>
      <c r="F48" s="7">
        <v>6</v>
      </c>
      <c r="G48" s="7">
        <v>7</v>
      </c>
      <c r="H48" s="7">
        <v>8</v>
      </c>
      <c r="I48" s="7">
        <v>9</v>
      </c>
      <c r="J48" s="7">
        <v>10</v>
      </c>
      <c r="K48" s="7">
        <v>11</v>
      </c>
      <c r="L48" s="7">
        <v>12</v>
      </c>
      <c r="M48" s="7">
        <v>13</v>
      </c>
      <c r="N48" s="7">
        <v>14</v>
      </c>
      <c r="O48" s="7">
        <v>15</v>
      </c>
      <c r="P48" s="7">
        <v>16</v>
      </c>
      <c r="Q48" s="7">
        <v>17</v>
      </c>
      <c r="R48" s="7">
        <v>18</v>
      </c>
      <c r="S48" s="7">
        <v>19</v>
      </c>
      <c r="T48" s="7">
        <v>20</v>
      </c>
      <c r="U48" s="7">
        <v>21</v>
      </c>
      <c r="V48" s="7">
        <v>22</v>
      </c>
      <c r="W48" s="7">
        <v>23</v>
      </c>
      <c r="X48" s="7">
        <v>24</v>
      </c>
      <c r="Y48" s="7">
        <v>25</v>
      </c>
      <c r="Z48" s="7">
        <v>26</v>
      </c>
      <c r="AA48" s="7">
        <v>27</v>
      </c>
      <c r="AB48" s="6" t="s">
        <v>54</v>
      </c>
    </row>
    <row r="49" spans="1:28" x14ac:dyDescent="0.3">
      <c r="A49" s="10">
        <f>B39</f>
        <v>0</v>
      </c>
      <c r="B49" s="10">
        <f>C39</f>
        <v>0</v>
      </c>
      <c r="C49" s="5">
        <f>D39</f>
        <v>48737.90781031092</v>
      </c>
      <c r="D49" s="5">
        <f>C49</f>
        <v>48737.90781031092</v>
      </c>
      <c r="E49" s="5">
        <f t="shared" ref="E49:AE49" si="5">D49</f>
        <v>48737.90781031092</v>
      </c>
      <c r="F49" s="5">
        <f t="shared" si="5"/>
        <v>48737.90781031092</v>
      </c>
      <c r="G49" s="5">
        <f t="shared" si="5"/>
        <v>48737.90781031092</v>
      </c>
      <c r="H49" s="5">
        <f t="shared" si="5"/>
        <v>48737.90781031092</v>
      </c>
      <c r="I49" s="5">
        <f t="shared" si="5"/>
        <v>48737.90781031092</v>
      </c>
      <c r="J49" s="5">
        <f t="shared" si="5"/>
        <v>48737.90781031092</v>
      </c>
      <c r="K49" s="5">
        <f t="shared" si="5"/>
        <v>48737.90781031092</v>
      </c>
      <c r="L49" s="5">
        <f t="shared" si="5"/>
        <v>48737.90781031092</v>
      </c>
      <c r="M49" s="5">
        <f>L49</f>
        <v>48737.90781031092</v>
      </c>
      <c r="N49" s="5">
        <f>M49</f>
        <v>48737.90781031092</v>
      </c>
      <c r="O49" s="5">
        <f>N49</f>
        <v>48737.90781031092</v>
      </c>
      <c r="P49" s="5">
        <f>O49</f>
        <v>48737.90781031092</v>
      </c>
      <c r="Q49" s="5">
        <f>P49</f>
        <v>48737.90781031092</v>
      </c>
      <c r="R49" s="5">
        <f>Q49</f>
        <v>48737.90781031092</v>
      </c>
      <c r="S49" s="5">
        <f>B32</f>
        <v>13788.126250722022</v>
      </c>
      <c r="T49" s="5">
        <f>S49</f>
        <v>13788.126250722022</v>
      </c>
      <c r="U49" s="5">
        <f>T49</f>
        <v>13788.126250722022</v>
      </c>
      <c r="V49" s="5">
        <f>U49</f>
        <v>13788.126250722022</v>
      </c>
      <c r="W49" s="5">
        <f>V49</f>
        <v>13788.126250722022</v>
      </c>
      <c r="X49" s="5">
        <f>W49</f>
        <v>13788.126250722022</v>
      </c>
      <c r="Y49" s="5">
        <f>X49</f>
        <v>13788.126250722022</v>
      </c>
      <c r="Z49" s="5">
        <f>Y49</f>
        <v>13788.126250722022</v>
      </c>
      <c r="AA49" s="5">
        <f>Z49</f>
        <v>13788.126250722022</v>
      </c>
      <c r="AB49" s="5">
        <f>SUM(A49:AA49)</f>
        <v>903899.66122147278</v>
      </c>
    </row>
  </sheetData>
  <mergeCells count="13">
    <mergeCell ref="G3:H3"/>
    <mergeCell ref="J12:J13"/>
    <mergeCell ref="K12:K13"/>
    <mergeCell ref="Y24:Y25"/>
    <mergeCell ref="Z24:Z25"/>
    <mergeCell ref="G24:G25"/>
    <mergeCell ref="H24:O24"/>
    <mergeCell ref="P24:W24"/>
    <mergeCell ref="X24:X25"/>
    <mergeCell ref="A24:A25"/>
    <mergeCell ref="G9:G10"/>
    <mergeCell ref="H9:H10"/>
    <mergeCell ref="B24:F24"/>
  </mergeCells>
  <hyperlinks>
    <hyperlink ref="E31" r:id="rId1" display="https://www.transformative-mobility.org/assets/publications/3.-TUMI-City-profile-and-story-Florianopolis.pdf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topLeftCell="A58" workbookViewId="0">
      <selection activeCell="G57" sqref="G57"/>
    </sheetView>
  </sheetViews>
  <sheetFormatPr baseColWidth="10" defaultColWidth="9.109375" defaultRowHeight="14.4" x14ac:dyDescent="0.3"/>
  <cols>
    <col min="1" max="1" width="40.77734375" customWidth="1"/>
    <col min="3" max="3" width="10.77734375" customWidth="1"/>
    <col min="6" max="6" width="30.33203125" customWidth="1"/>
    <col min="8" max="8" width="12.21875" customWidth="1"/>
  </cols>
  <sheetData>
    <row r="1" spans="1:12" ht="21" x14ac:dyDescent="0.4">
      <c r="A1" s="1" t="s">
        <v>138</v>
      </c>
    </row>
    <row r="3" spans="1:12" x14ac:dyDescent="0.3">
      <c r="A3" s="59" t="s">
        <v>2</v>
      </c>
      <c r="B3" s="44" t="s">
        <v>3</v>
      </c>
      <c r="C3" s="49" t="s">
        <v>80</v>
      </c>
      <c r="D3" s="151" t="s">
        <v>81</v>
      </c>
      <c r="E3" s="151"/>
      <c r="F3" s="151"/>
      <c r="G3" s="151"/>
      <c r="H3" s="151"/>
      <c r="I3" s="151"/>
      <c r="J3" s="151"/>
      <c r="K3" s="151"/>
      <c r="L3" s="151"/>
    </row>
    <row r="4" spans="1:12" x14ac:dyDescent="0.3">
      <c r="A4" s="82" t="s">
        <v>116</v>
      </c>
      <c r="B4" s="5">
        <v>66000</v>
      </c>
      <c r="C4" s="4" t="s">
        <v>84</v>
      </c>
      <c r="D4" s="134" t="s">
        <v>139</v>
      </c>
      <c r="E4" s="134"/>
      <c r="F4" s="134"/>
      <c r="G4" s="134"/>
      <c r="H4" s="134"/>
      <c r="I4" s="134"/>
      <c r="J4" s="134"/>
      <c r="K4" s="134"/>
      <c r="L4" s="134"/>
    </row>
    <row r="5" spans="1:12" x14ac:dyDescent="0.3">
      <c r="A5" s="82" t="s">
        <v>140</v>
      </c>
      <c r="B5" s="5">
        <f>B4/(365*0.9)*1.1</f>
        <v>221.00456621004568</v>
      </c>
      <c r="C5" s="4" t="s">
        <v>84</v>
      </c>
      <c r="D5" s="134" t="s">
        <v>141</v>
      </c>
      <c r="E5" s="134"/>
      <c r="F5" s="134"/>
      <c r="G5" s="134"/>
      <c r="H5" s="134"/>
      <c r="I5" s="134"/>
      <c r="J5" s="134"/>
      <c r="K5" s="134"/>
      <c r="L5" s="134"/>
    </row>
    <row r="6" spans="1:12" ht="14.25" customHeight="1" x14ac:dyDescent="0.3">
      <c r="A6" s="4" t="s">
        <v>142</v>
      </c>
      <c r="B6" s="10">
        <v>1.1000000000000001</v>
      </c>
      <c r="C6" s="4" t="s">
        <v>85</v>
      </c>
      <c r="D6" s="134" t="s">
        <v>143</v>
      </c>
      <c r="E6" s="134"/>
      <c r="F6" s="134"/>
      <c r="G6" s="134"/>
      <c r="H6" s="134"/>
      <c r="I6" s="134"/>
      <c r="J6" s="134"/>
      <c r="K6" s="134"/>
      <c r="L6" s="134"/>
    </row>
    <row r="7" spans="1:12" ht="14.25" customHeight="1" x14ac:dyDescent="0.3">
      <c r="A7" s="4" t="s">
        <v>117</v>
      </c>
      <c r="B7" s="22">
        <v>59</v>
      </c>
      <c r="C7" s="4" t="s">
        <v>118</v>
      </c>
      <c r="D7" s="134" t="s">
        <v>369</v>
      </c>
      <c r="E7" s="134"/>
      <c r="F7" s="134"/>
      <c r="G7" s="134"/>
      <c r="H7" s="134"/>
      <c r="I7" s="134"/>
      <c r="J7" s="134"/>
      <c r="K7" s="134"/>
      <c r="L7" s="134"/>
    </row>
    <row r="8" spans="1:12" ht="14.25" customHeight="1" x14ac:dyDescent="0.3">
      <c r="A8" s="4" t="s">
        <v>144</v>
      </c>
      <c r="B8" s="70">
        <v>0.15</v>
      </c>
      <c r="C8" s="4" t="s">
        <v>145</v>
      </c>
      <c r="D8" s="152" t="s">
        <v>139</v>
      </c>
      <c r="E8" s="153"/>
      <c r="F8" s="153"/>
      <c r="G8" s="153"/>
      <c r="H8" s="153"/>
      <c r="I8" s="153"/>
      <c r="J8" s="153"/>
      <c r="K8" s="153"/>
      <c r="L8" s="154"/>
    </row>
    <row r="9" spans="1:12" ht="14.25" customHeight="1" x14ac:dyDescent="0.3">
      <c r="A9" s="60" t="s">
        <v>119</v>
      </c>
      <c r="B9" s="10">
        <v>15</v>
      </c>
      <c r="C9" s="4" t="s">
        <v>83</v>
      </c>
      <c r="D9" s="134" t="s">
        <v>146</v>
      </c>
      <c r="E9" s="134"/>
      <c r="F9" s="134"/>
      <c r="G9" s="134"/>
      <c r="H9" s="134"/>
      <c r="I9" s="134"/>
      <c r="J9" s="134"/>
      <c r="K9" s="134"/>
      <c r="L9" s="134"/>
    </row>
    <row r="10" spans="1:12" ht="14.25" customHeight="1" x14ac:dyDescent="0.3">
      <c r="A10" s="60" t="s">
        <v>147</v>
      </c>
      <c r="B10" s="10">
        <f>16</f>
        <v>16</v>
      </c>
      <c r="C10" s="4" t="s">
        <v>83</v>
      </c>
      <c r="D10" s="134" t="s">
        <v>148</v>
      </c>
      <c r="E10" s="134"/>
      <c r="F10" s="134"/>
      <c r="G10" s="134"/>
      <c r="H10" s="134"/>
      <c r="I10" s="134"/>
      <c r="J10" s="134"/>
      <c r="K10" s="134"/>
      <c r="L10" s="134"/>
    </row>
    <row r="11" spans="1:12" ht="14.25" customHeight="1" x14ac:dyDescent="0.3">
      <c r="A11" s="4" t="s">
        <v>149</v>
      </c>
      <c r="B11" s="10">
        <v>8</v>
      </c>
      <c r="C11" s="4" t="s">
        <v>83</v>
      </c>
      <c r="D11" s="134" t="s">
        <v>150</v>
      </c>
      <c r="E11" s="134"/>
      <c r="F11" s="134"/>
      <c r="G11" s="134"/>
      <c r="H11" s="134"/>
      <c r="I11" s="134"/>
      <c r="J11" s="134"/>
      <c r="K11" s="134"/>
      <c r="L11" s="134"/>
    </row>
    <row r="12" spans="1:12" x14ac:dyDescent="0.3">
      <c r="B12" s="2"/>
      <c r="D12" s="83"/>
      <c r="E12" s="83"/>
      <c r="F12" s="83"/>
      <c r="G12" s="83"/>
      <c r="H12" s="83"/>
    </row>
    <row r="13" spans="1:12" x14ac:dyDescent="0.3">
      <c r="A13" s="3" t="s">
        <v>151</v>
      </c>
      <c r="B13" s="2"/>
      <c r="D13" s="83"/>
      <c r="E13" s="83"/>
      <c r="F13" s="83"/>
      <c r="G13" s="83"/>
      <c r="H13" s="83"/>
    </row>
    <row r="14" spans="1:12" x14ac:dyDescent="0.3">
      <c r="A14" s="59" t="s">
        <v>2</v>
      </c>
      <c r="B14" s="44" t="s">
        <v>3</v>
      </c>
      <c r="C14" s="49" t="s">
        <v>80</v>
      </c>
      <c r="D14" s="151" t="s">
        <v>81</v>
      </c>
      <c r="E14" s="151"/>
      <c r="F14" s="151"/>
      <c r="G14" s="151"/>
      <c r="H14" s="151"/>
      <c r="I14" s="151"/>
      <c r="J14" s="151"/>
      <c r="K14" s="151"/>
      <c r="L14" s="151"/>
    </row>
    <row r="15" spans="1:12" x14ac:dyDescent="0.3">
      <c r="A15" s="58" t="s">
        <v>152</v>
      </c>
      <c r="B15" s="5">
        <v>150000</v>
      </c>
      <c r="C15" s="4" t="s">
        <v>153</v>
      </c>
      <c r="D15" s="134" t="s">
        <v>370</v>
      </c>
      <c r="E15" s="134"/>
      <c r="F15" s="134"/>
      <c r="G15" s="134"/>
      <c r="H15" s="134"/>
      <c r="I15" s="134"/>
      <c r="J15" s="134"/>
      <c r="K15" s="134"/>
      <c r="L15" s="134"/>
    </row>
    <row r="16" spans="1:12" ht="14.25" customHeight="1" x14ac:dyDescent="0.3">
      <c r="A16" s="58" t="s">
        <v>154</v>
      </c>
      <c r="B16" s="5">
        <f>270000+(C43-350)*B17</f>
        <v>284000</v>
      </c>
      <c r="C16" s="4" t="s">
        <v>153</v>
      </c>
      <c r="D16" s="134" t="s">
        <v>155</v>
      </c>
      <c r="E16" s="134"/>
      <c r="F16" s="134"/>
      <c r="G16" s="134"/>
      <c r="H16" s="134"/>
      <c r="I16" s="134"/>
      <c r="J16" s="134"/>
      <c r="K16" s="134"/>
      <c r="L16" s="134"/>
    </row>
    <row r="17" spans="1:12" ht="14.25" customHeight="1" x14ac:dyDescent="0.3">
      <c r="A17" s="58" t="s">
        <v>156</v>
      </c>
      <c r="B17" s="5">
        <v>200</v>
      </c>
      <c r="C17" s="4" t="s">
        <v>157</v>
      </c>
      <c r="D17" s="134" t="s">
        <v>158</v>
      </c>
      <c r="E17" s="134"/>
      <c r="F17" s="134"/>
      <c r="G17" s="134"/>
      <c r="H17" s="134"/>
      <c r="I17" s="134"/>
      <c r="J17" s="134"/>
      <c r="K17" s="134"/>
      <c r="L17" s="134"/>
    </row>
    <row r="18" spans="1:12" x14ac:dyDescent="0.3">
      <c r="A18" s="58" t="s">
        <v>159</v>
      </c>
      <c r="B18" s="5">
        <v>250000</v>
      </c>
      <c r="C18" s="4" t="s">
        <v>153</v>
      </c>
      <c r="D18" s="133" t="s">
        <v>160</v>
      </c>
      <c r="E18" s="133"/>
      <c r="F18" s="133"/>
      <c r="G18" s="133"/>
      <c r="H18" s="133"/>
      <c r="I18" s="133"/>
      <c r="J18" s="133"/>
      <c r="K18" s="133"/>
      <c r="L18" s="133"/>
    </row>
    <row r="19" spans="1:12" ht="14.25" customHeight="1" x14ac:dyDescent="0.3">
      <c r="A19" s="58" t="s">
        <v>161</v>
      </c>
      <c r="B19" s="5">
        <v>250</v>
      </c>
      <c r="C19" s="4" t="s">
        <v>157</v>
      </c>
      <c r="D19" s="134" t="s">
        <v>162</v>
      </c>
      <c r="E19" s="134"/>
      <c r="F19" s="134"/>
      <c r="G19" s="134"/>
      <c r="H19" s="134"/>
      <c r="I19" s="134"/>
      <c r="J19" s="134"/>
      <c r="K19" s="134"/>
      <c r="L19" s="134"/>
    </row>
    <row r="20" spans="1:12" ht="28.95" customHeight="1" x14ac:dyDescent="0.3">
      <c r="A20" s="58" t="s">
        <v>163</v>
      </c>
      <c r="B20" s="84">
        <v>0.5</v>
      </c>
      <c r="C20" s="58"/>
      <c r="D20" s="134" t="s">
        <v>164</v>
      </c>
      <c r="E20" s="134"/>
      <c r="F20" s="134"/>
      <c r="G20" s="134"/>
      <c r="H20" s="134"/>
      <c r="I20" s="134"/>
      <c r="J20" s="134"/>
      <c r="K20" s="134"/>
      <c r="L20" s="134"/>
    </row>
    <row r="21" spans="1:12" x14ac:dyDescent="0.3">
      <c r="A21" s="58" t="s">
        <v>165</v>
      </c>
      <c r="B21" s="45">
        <v>120</v>
      </c>
      <c r="C21" s="58" t="s">
        <v>166</v>
      </c>
      <c r="D21" s="134" t="s">
        <v>167</v>
      </c>
      <c r="E21" s="134"/>
      <c r="F21" s="134"/>
      <c r="G21" s="134"/>
      <c r="H21" s="134"/>
      <c r="I21" s="134"/>
      <c r="J21" s="134"/>
      <c r="K21" s="134"/>
      <c r="L21" s="134"/>
    </row>
    <row r="22" spans="1:12" x14ac:dyDescent="0.3">
      <c r="A22" s="58" t="s">
        <v>168</v>
      </c>
      <c r="B22" s="85">
        <f>5000/2</f>
        <v>2500</v>
      </c>
      <c r="C22" s="58" t="s">
        <v>169</v>
      </c>
      <c r="D22" s="134" t="s">
        <v>170</v>
      </c>
      <c r="E22" s="134"/>
      <c r="F22" s="134"/>
      <c r="G22" s="134"/>
      <c r="H22" s="134"/>
      <c r="I22" s="134"/>
      <c r="J22" s="134"/>
      <c r="K22" s="134"/>
      <c r="L22" s="134"/>
    </row>
    <row r="23" spans="1:12" ht="28.5" customHeight="1" x14ac:dyDescent="0.3">
      <c r="A23" s="58" t="s">
        <v>171</v>
      </c>
      <c r="B23" s="45">
        <f>(250+125)*20</f>
        <v>7500</v>
      </c>
      <c r="C23" s="58" t="s">
        <v>169</v>
      </c>
      <c r="D23" s="134" t="s">
        <v>172</v>
      </c>
      <c r="E23" s="134"/>
      <c r="F23" s="134"/>
      <c r="G23" s="134"/>
      <c r="H23" s="134"/>
      <c r="I23" s="134"/>
      <c r="J23" s="134"/>
      <c r="K23" s="134"/>
      <c r="L23" s="134"/>
    </row>
    <row r="24" spans="1:12" ht="27.45" customHeight="1" x14ac:dyDescent="0.3">
      <c r="A24" s="58" t="s">
        <v>173</v>
      </c>
      <c r="B24" s="45">
        <v>30000</v>
      </c>
      <c r="C24" s="58" t="s">
        <v>169</v>
      </c>
      <c r="D24" s="134" t="s">
        <v>174</v>
      </c>
      <c r="E24" s="134"/>
      <c r="F24" s="134"/>
      <c r="G24" s="134"/>
      <c r="H24" s="134"/>
      <c r="I24" s="134"/>
      <c r="J24" s="134"/>
      <c r="K24" s="134"/>
      <c r="L24" s="134"/>
    </row>
    <row r="25" spans="1:12" ht="28.8" x14ac:dyDescent="0.3">
      <c r="A25" s="60" t="s">
        <v>175</v>
      </c>
      <c r="B25" s="84">
        <v>0.7</v>
      </c>
      <c r="C25" s="58"/>
      <c r="D25" s="148" t="s">
        <v>176</v>
      </c>
      <c r="E25" s="148"/>
      <c r="F25" s="148"/>
      <c r="G25" s="148"/>
      <c r="H25" s="148"/>
      <c r="I25" s="148"/>
      <c r="J25" s="148"/>
      <c r="K25" s="148"/>
      <c r="L25" s="148"/>
    </row>
    <row r="26" spans="1:12" ht="28.8" x14ac:dyDescent="0.3">
      <c r="A26" s="60" t="s">
        <v>177</v>
      </c>
      <c r="B26" s="84">
        <v>1.2</v>
      </c>
      <c r="C26" s="58"/>
      <c r="D26" s="148" t="s">
        <v>178</v>
      </c>
      <c r="E26" s="148"/>
      <c r="F26" s="148"/>
      <c r="G26" s="148"/>
      <c r="H26" s="148"/>
      <c r="I26" s="148"/>
      <c r="J26" s="148"/>
      <c r="K26" s="148"/>
      <c r="L26" s="148"/>
    </row>
    <row r="27" spans="1:12" x14ac:dyDescent="0.3">
      <c r="A27" s="60" t="s">
        <v>179</v>
      </c>
      <c r="B27" s="85">
        <v>10</v>
      </c>
      <c r="C27" s="58" t="s">
        <v>83</v>
      </c>
      <c r="D27" s="148" t="s">
        <v>180</v>
      </c>
      <c r="E27" s="148"/>
      <c r="F27" s="148"/>
      <c r="G27" s="148"/>
      <c r="H27" s="148"/>
      <c r="I27" s="148"/>
      <c r="J27" s="148"/>
      <c r="K27" s="148"/>
      <c r="L27" s="148"/>
    </row>
    <row r="28" spans="1:12" x14ac:dyDescent="0.3">
      <c r="A28" s="60" t="s">
        <v>181</v>
      </c>
      <c r="B28" s="85">
        <v>20</v>
      </c>
      <c r="C28" s="58" t="s">
        <v>83</v>
      </c>
      <c r="D28" s="148" t="s">
        <v>180</v>
      </c>
      <c r="E28" s="148"/>
      <c r="F28" s="148"/>
      <c r="G28" s="148"/>
      <c r="H28" s="148"/>
      <c r="I28" s="148"/>
      <c r="J28" s="148"/>
      <c r="K28" s="148"/>
      <c r="L28" s="148"/>
    </row>
    <row r="29" spans="1:12" x14ac:dyDescent="0.3">
      <c r="A29" s="60" t="s">
        <v>182</v>
      </c>
      <c r="B29" s="85">
        <v>20</v>
      </c>
      <c r="C29" s="58" t="s">
        <v>83</v>
      </c>
      <c r="D29" s="148" t="s">
        <v>180</v>
      </c>
      <c r="E29" s="148"/>
      <c r="F29" s="148"/>
      <c r="G29" s="148"/>
      <c r="H29" s="148"/>
      <c r="I29" s="148"/>
      <c r="J29" s="148"/>
      <c r="K29" s="148"/>
      <c r="L29" s="148"/>
    </row>
    <row r="30" spans="1:12" x14ac:dyDescent="0.3">
      <c r="A30" s="60" t="s">
        <v>183</v>
      </c>
      <c r="B30" s="84">
        <v>0.02</v>
      </c>
      <c r="C30" s="58"/>
      <c r="D30" s="148" t="s">
        <v>184</v>
      </c>
      <c r="E30" s="148"/>
      <c r="F30" s="148"/>
      <c r="G30" s="148"/>
      <c r="H30" s="148"/>
      <c r="I30" s="148"/>
      <c r="J30" s="148"/>
      <c r="K30" s="148"/>
      <c r="L30" s="148"/>
    </row>
    <row r="31" spans="1:12" x14ac:dyDescent="0.3">
      <c r="A31" s="86"/>
      <c r="B31" s="87"/>
      <c r="C31" s="88"/>
      <c r="D31" s="149"/>
      <c r="E31" s="149"/>
      <c r="F31" s="149"/>
      <c r="G31" s="149"/>
      <c r="H31" s="149"/>
      <c r="I31" s="149"/>
      <c r="J31" s="149"/>
      <c r="K31" s="149"/>
      <c r="L31" s="149"/>
    </row>
    <row r="32" spans="1:12" x14ac:dyDescent="0.3">
      <c r="A32" s="86"/>
      <c r="B32" s="87"/>
      <c r="C32" s="88"/>
      <c r="D32" s="89"/>
      <c r="E32" s="89"/>
      <c r="F32" s="89"/>
      <c r="G32" s="89"/>
      <c r="H32" s="89"/>
      <c r="I32" s="89"/>
      <c r="J32" s="89"/>
      <c r="K32" s="89"/>
      <c r="L32" s="89"/>
    </row>
    <row r="33" spans="1:9" x14ac:dyDescent="0.3">
      <c r="D33" s="150"/>
      <c r="E33" s="150"/>
      <c r="F33" s="150"/>
      <c r="G33" s="150"/>
      <c r="H33" s="150"/>
    </row>
    <row r="34" spans="1:9" x14ac:dyDescent="0.3">
      <c r="A34" s="90" t="s">
        <v>185</v>
      </c>
      <c r="F34" s="3" t="s">
        <v>371</v>
      </c>
    </row>
    <row r="36" spans="1:9" x14ac:dyDescent="0.3">
      <c r="A36" s="3" t="s">
        <v>186</v>
      </c>
      <c r="F36" t="s">
        <v>368</v>
      </c>
    </row>
    <row r="37" spans="1:9" x14ac:dyDescent="0.3">
      <c r="A37" s="49" t="s">
        <v>2</v>
      </c>
      <c r="B37" s="7" t="s">
        <v>80</v>
      </c>
      <c r="C37" s="7" t="s">
        <v>3</v>
      </c>
      <c r="F37" s="6" t="s">
        <v>2</v>
      </c>
      <c r="G37" s="7" t="s">
        <v>72</v>
      </c>
      <c r="H37" s="7" t="s">
        <v>232</v>
      </c>
      <c r="I37" s="7" t="s">
        <v>233</v>
      </c>
    </row>
    <row r="38" spans="1:9" x14ac:dyDescent="0.3">
      <c r="A38" s="29" t="s">
        <v>187</v>
      </c>
      <c r="B38" s="10" t="s">
        <v>84</v>
      </c>
      <c r="C38" s="5">
        <f>B5</f>
        <v>221.00456621004568</v>
      </c>
      <c r="F38" s="4" t="s">
        <v>234</v>
      </c>
      <c r="G38" s="5">
        <v>150000</v>
      </c>
      <c r="H38" s="5">
        <v>284000</v>
      </c>
      <c r="I38" s="5">
        <v>250000</v>
      </c>
    </row>
    <row r="39" spans="1:9" x14ac:dyDescent="0.3">
      <c r="A39" s="29" t="s">
        <v>188</v>
      </c>
      <c r="B39" s="10" t="s">
        <v>82</v>
      </c>
      <c r="C39" s="22">
        <f>C38*B6</f>
        <v>243.10502283105026</v>
      </c>
      <c r="F39" s="4" t="s">
        <v>235</v>
      </c>
      <c r="G39" s="5">
        <v>0</v>
      </c>
      <c r="H39" s="5">
        <v>8500</v>
      </c>
      <c r="I39" s="5">
        <v>12112.5</v>
      </c>
    </row>
    <row r="40" spans="1:9" x14ac:dyDescent="0.3">
      <c r="A40" s="29" t="s">
        <v>189</v>
      </c>
      <c r="B40" s="10"/>
      <c r="C40" s="17">
        <v>0.1</v>
      </c>
      <c r="F40" s="4" t="s">
        <v>236</v>
      </c>
      <c r="G40" s="5">
        <v>0</v>
      </c>
      <c r="H40" s="5">
        <v>30000</v>
      </c>
      <c r="I40" s="5">
        <v>30000</v>
      </c>
    </row>
    <row r="41" spans="1:9" x14ac:dyDescent="0.3">
      <c r="A41" s="29" t="s">
        <v>190</v>
      </c>
      <c r="B41" s="10"/>
      <c r="C41" s="17">
        <v>0.2</v>
      </c>
      <c r="F41" s="4" t="s">
        <v>237</v>
      </c>
      <c r="G41" s="5">
        <v>0</v>
      </c>
      <c r="H41" s="5">
        <v>7500</v>
      </c>
      <c r="I41" s="5">
        <v>7500</v>
      </c>
    </row>
    <row r="42" spans="1:9" x14ac:dyDescent="0.3">
      <c r="A42" s="29" t="s">
        <v>191</v>
      </c>
      <c r="B42" s="10"/>
      <c r="C42" s="17">
        <v>0.2</v>
      </c>
      <c r="F42" s="4" t="s">
        <v>238</v>
      </c>
      <c r="G42" s="5">
        <v>150000</v>
      </c>
      <c r="H42" s="5">
        <v>330000</v>
      </c>
      <c r="I42" s="5">
        <v>299612.5</v>
      </c>
    </row>
    <row r="43" spans="1:9" x14ac:dyDescent="0.3">
      <c r="A43" s="91" t="s">
        <v>192</v>
      </c>
      <c r="B43" s="28" t="s">
        <v>82</v>
      </c>
      <c r="C43" s="19">
        <f>ROUND(((C39*(100%+C40))/(100%-C41))/(100%-C42),-1)</f>
        <v>420</v>
      </c>
      <c r="F43" s="4" t="s">
        <v>239</v>
      </c>
      <c r="G43" s="5">
        <v>0</v>
      </c>
      <c r="H43" s="5">
        <v>42000</v>
      </c>
      <c r="I43" s="5">
        <v>25000</v>
      </c>
    </row>
    <row r="44" spans="1:9" x14ac:dyDescent="0.3">
      <c r="F44" s="4" t="s">
        <v>240</v>
      </c>
      <c r="G44" s="5">
        <v>46338.6</v>
      </c>
      <c r="H44" s="5">
        <v>10164.000000000002</v>
      </c>
      <c r="I44" s="5">
        <v>10164.000000000002</v>
      </c>
    </row>
    <row r="45" spans="1:9" x14ac:dyDescent="0.3">
      <c r="A45" s="92" t="s">
        <v>193</v>
      </c>
      <c r="F45" s="4" t="s">
        <v>241</v>
      </c>
      <c r="G45" s="5">
        <v>9900</v>
      </c>
      <c r="H45" s="5">
        <v>6930</v>
      </c>
      <c r="I45" s="5">
        <v>6930</v>
      </c>
    </row>
    <row r="46" spans="1:9" x14ac:dyDescent="0.3">
      <c r="A46" s="49" t="s">
        <v>2</v>
      </c>
      <c r="B46" s="7" t="s">
        <v>80</v>
      </c>
      <c r="C46" s="7" t="s">
        <v>3</v>
      </c>
      <c r="F46" s="4" t="s">
        <v>242</v>
      </c>
      <c r="G46" s="5">
        <v>0</v>
      </c>
      <c r="H46" s="5">
        <v>920</v>
      </c>
      <c r="I46" s="5">
        <v>992.25</v>
      </c>
    </row>
    <row r="47" spans="1:9" x14ac:dyDescent="0.3">
      <c r="A47" s="4" t="s">
        <v>194</v>
      </c>
      <c r="B47" s="61" t="s">
        <v>82</v>
      </c>
      <c r="C47" s="62">
        <f>C43</f>
        <v>420</v>
      </c>
      <c r="F47" s="4" t="s">
        <v>243</v>
      </c>
      <c r="G47" s="5">
        <v>6862.0797150713961</v>
      </c>
      <c r="H47" s="5">
        <v>13010.687085234804</v>
      </c>
      <c r="I47" s="5">
        <v>11453.069617284158</v>
      </c>
    </row>
    <row r="48" spans="1:9" x14ac:dyDescent="0.3">
      <c r="A48" s="4" t="s">
        <v>195</v>
      </c>
      <c r="B48" s="61" t="s">
        <v>82</v>
      </c>
      <c r="C48" s="62">
        <f>C39</f>
        <v>243.10502283105026</v>
      </c>
      <c r="F48" s="4" t="s">
        <v>244</v>
      </c>
      <c r="G48" s="5">
        <v>6450.3063137734189</v>
      </c>
      <c r="H48" s="5">
        <v>435.6</v>
      </c>
      <c r="I48" s="5">
        <v>435.6</v>
      </c>
    </row>
    <row r="49" spans="1:9" x14ac:dyDescent="0.3">
      <c r="A49" s="52" t="s">
        <v>196</v>
      </c>
      <c r="B49" s="61" t="s">
        <v>197</v>
      </c>
      <c r="C49" s="61">
        <v>6</v>
      </c>
      <c r="F49" s="4" t="s">
        <v>245</v>
      </c>
      <c r="G49" s="70">
        <v>1.068596966998782</v>
      </c>
      <c r="H49" s="70">
        <v>0.79542956363000672</v>
      </c>
      <c r="I49" s="70">
        <v>0.73305205932005502</v>
      </c>
    </row>
    <row r="50" spans="1:9" x14ac:dyDescent="0.3">
      <c r="A50" s="52" t="s">
        <v>198</v>
      </c>
      <c r="B50" s="61"/>
      <c r="C50" s="84">
        <v>0.9</v>
      </c>
      <c r="F50" s="4" t="s">
        <v>246</v>
      </c>
      <c r="G50" s="70">
        <v>1.1824502807881025</v>
      </c>
      <c r="H50" s="70">
        <v>0.80311826879750081</v>
      </c>
      <c r="I50" s="70">
        <v>0.74074076448754911</v>
      </c>
    </row>
    <row r="51" spans="1:9" ht="28.8" x14ac:dyDescent="0.3">
      <c r="A51" s="52" t="s">
        <v>199</v>
      </c>
      <c r="B51" s="61" t="s">
        <v>200</v>
      </c>
      <c r="C51" s="45">
        <f>ROUND((C48/C50)/(C49-1),-1)</f>
        <v>50</v>
      </c>
      <c r="F51" t="s">
        <v>247</v>
      </c>
    </row>
    <row r="53" spans="1:9" x14ac:dyDescent="0.3">
      <c r="A53" s="93" t="s">
        <v>201</v>
      </c>
    </row>
    <row r="55" spans="1:9" x14ac:dyDescent="0.3">
      <c r="A55" s="49" t="s">
        <v>2</v>
      </c>
      <c r="B55" s="7" t="s">
        <v>80</v>
      </c>
      <c r="C55" s="7" t="s">
        <v>3</v>
      </c>
    </row>
    <row r="56" spans="1:9" x14ac:dyDescent="0.3">
      <c r="A56" s="29" t="s">
        <v>202</v>
      </c>
      <c r="B56" s="10" t="s">
        <v>82</v>
      </c>
      <c r="C56" s="5">
        <v>200</v>
      </c>
    </row>
    <row r="57" spans="1:9" x14ac:dyDescent="0.3">
      <c r="A57" s="29" t="s">
        <v>203</v>
      </c>
      <c r="B57" s="10"/>
      <c r="C57" s="70">
        <v>0.65</v>
      </c>
    </row>
    <row r="58" spans="1:9" x14ac:dyDescent="0.3">
      <c r="A58" s="29" t="s">
        <v>204</v>
      </c>
      <c r="B58" s="10" t="s">
        <v>82</v>
      </c>
      <c r="C58" s="94">
        <f>C56*C57/2</f>
        <v>65</v>
      </c>
    </row>
    <row r="59" spans="1:9" ht="28.8" x14ac:dyDescent="0.3">
      <c r="A59" s="50" t="s">
        <v>205</v>
      </c>
      <c r="B59" s="61" t="s">
        <v>82</v>
      </c>
      <c r="C59" s="85">
        <f>C48-C56*0.8</f>
        <v>83.105022831050263</v>
      </c>
    </row>
    <row r="60" spans="1:9" x14ac:dyDescent="0.3">
      <c r="A60" s="50" t="s">
        <v>206</v>
      </c>
      <c r="B60" s="61"/>
      <c r="C60" s="84">
        <f>C59/C48</f>
        <v>0.341848234410218</v>
      </c>
    </row>
    <row r="61" spans="1:9" x14ac:dyDescent="0.3">
      <c r="A61" s="50" t="s">
        <v>207</v>
      </c>
      <c r="B61" s="61" t="s">
        <v>200</v>
      </c>
      <c r="C61" s="85">
        <v>300</v>
      </c>
    </row>
    <row r="62" spans="1:9" x14ac:dyDescent="0.3">
      <c r="A62" s="52" t="s">
        <v>208</v>
      </c>
      <c r="B62" s="61"/>
      <c r="C62" s="84">
        <v>0.9</v>
      </c>
    </row>
    <row r="63" spans="1:9" ht="28.8" x14ac:dyDescent="0.3">
      <c r="A63" s="50" t="s">
        <v>209</v>
      </c>
      <c r="B63" s="61" t="s">
        <v>210</v>
      </c>
      <c r="C63" s="85">
        <f>C59/(C61*C62/60)</f>
        <v>18.467782851344502</v>
      </c>
    </row>
    <row r="64" spans="1:9" ht="28.8" x14ac:dyDescent="0.3">
      <c r="A64" s="82" t="s">
        <v>211</v>
      </c>
      <c r="B64" s="95" t="s">
        <v>212</v>
      </c>
      <c r="C64" s="85">
        <f>MIN(8,360/(C63*2))</f>
        <v>8</v>
      </c>
    </row>
    <row r="65" spans="1:3" x14ac:dyDescent="0.3">
      <c r="A65" s="82" t="s">
        <v>213</v>
      </c>
      <c r="B65" s="95"/>
      <c r="C65" s="45">
        <f>ROUND(((C48-C59)/C50)/(C49-1),-1)</f>
        <v>40</v>
      </c>
    </row>
    <row r="66" spans="1:3" ht="30" customHeight="1" x14ac:dyDescent="0.3">
      <c r="A66" s="150" t="s">
        <v>214</v>
      </c>
      <c r="B66" s="150"/>
      <c r="C66" s="150"/>
    </row>
    <row r="67" spans="1:3" x14ac:dyDescent="0.3">
      <c r="A67" s="89"/>
      <c r="B67" s="96"/>
      <c r="C67" s="97"/>
    </row>
    <row r="69" spans="1:3" x14ac:dyDescent="0.3">
      <c r="A69" s="6" t="s">
        <v>318</v>
      </c>
      <c r="B69" s="7" t="s">
        <v>319</v>
      </c>
      <c r="C69" s="7" t="s">
        <v>320</v>
      </c>
    </row>
    <row r="70" spans="1:3" x14ac:dyDescent="0.3">
      <c r="A70" s="4" t="s">
        <v>215</v>
      </c>
      <c r="B70" s="5">
        <f>B4*B7/100*defaults!B8*defaults!B7*defaults!B6*(100%+defaults!B9)/10^6</f>
        <v>128.80424277864</v>
      </c>
      <c r="C70" s="5">
        <f>B7/100*defaults!B8*defaults!B7*defaults!B6*(100%+defaults!B9)</f>
        <v>1951.5794360399998</v>
      </c>
    </row>
    <row r="71" spans="1:3" x14ac:dyDescent="0.3">
      <c r="A71" s="4" t="s">
        <v>216</v>
      </c>
      <c r="B71" s="5">
        <f>B6*B4/1000*'Grid Factors'!B5</f>
        <v>10.889999999999999</v>
      </c>
      <c r="C71" s="10">
        <f>B6*1000*'Grid Factors'!B5</f>
        <v>165</v>
      </c>
    </row>
    <row r="72" spans="1:3" x14ac:dyDescent="0.3">
      <c r="A72" s="4" t="s">
        <v>218</v>
      </c>
      <c r="B72" s="5">
        <f>B70-B71</f>
        <v>117.91424277864</v>
      </c>
      <c r="C72" s="5">
        <f>C70-C71</f>
        <v>1786.5794360399998</v>
      </c>
    </row>
    <row r="73" spans="1:3" x14ac:dyDescent="0.3">
      <c r="B73" s="98"/>
    </row>
    <row r="74" spans="1:3" x14ac:dyDescent="0.3">
      <c r="A74" s="6" t="s">
        <v>230</v>
      </c>
      <c r="B74" s="99"/>
    </row>
    <row r="75" spans="1:3" x14ac:dyDescent="0.3">
      <c r="A75" s="4" t="s">
        <v>227</v>
      </c>
      <c r="B75" s="5">
        <f>B4*B7/100*defaults!B8*defaults!B6/1000</f>
        <v>1413.21048</v>
      </c>
    </row>
    <row r="76" spans="1:3" x14ac:dyDescent="0.3">
      <c r="A76" s="4" t="s">
        <v>228</v>
      </c>
      <c r="B76" s="5">
        <f>B4*B6*defaults!B20/1000</f>
        <v>261.36</v>
      </c>
    </row>
    <row r="77" spans="1:3" x14ac:dyDescent="0.3">
      <c r="A77" s="4" t="s">
        <v>229</v>
      </c>
      <c r="B77" s="5">
        <f>B75-B76</f>
        <v>1151.8504800000001</v>
      </c>
    </row>
  </sheetData>
  <mergeCells count="29">
    <mergeCell ref="D16:L16"/>
    <mergeCell ref="D3:L3"/>
    <mergeCell ref="D4:L4"/>
    <mergeCell ref="D5:L5"/>
    <mergeCell ref="D6:L6"/>
    <mergeCell ref="D7:L7"/>
    <mergeCell ref="D8:L8"/>
    <mergeCell ref="D9:L9"/>
    <mergeCell ref="D10:L10"/>
    <mergeCell ref="D11:L11"/>
    <mergeCell ref="D14:L14"/>
    <mergeCell ref="D15:L15"/>
    <mergeCell ref="D28:L28"/>
    <mergeCell ref="D17:L17"/>
    <mergeCell ref="D18:L18"/>
    <mergeCell ref="D19:L19"/>
    <mergeCell ref="D20:L20"/>
    <mergeCell ref="D21:L21"/>
    <mergeCell ref="D22:L22"/>
    <mergeCell ref="D23:L23"/>
    <mergeCell ref="D24:L24"/>
    <mergeCell ref="D25:L25"/>
    <mergeCell ref="D26:L26"/>
    <mergeCell ref="D27:L27"/>
    <mergeCell ref="D29:L29"/>
    <mergeCell ref="D30:L30"/>
    <mergeCell ref="D31:L31"/>
    <mergeCell ref="D33:H33"/>
    <mergeCell ref="A66:C66"/>
  </mergeCells>
  <pageMargins left="0.7" right="0.7" top="0.75" bottom="0.75" header="0.3" footer="0.3"/>
  <pageSetup paperSize="9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8"/>
  <sheetViews>
    <sheetView topLeftCell="A8" zoomScale="70" zoomScaleNormal="70" workbookViewId="0">
      <selection activeCell="I41" sqref="I41"/>
    </sheetView>
  </sheetViews>
  <sheetFormatPr baseColWidth="10" defaultColWidth="9.109375" defaultRowHeight="14.4" x14ac:dyDescent="0.3"/>
  <cols>
    <col min="1" max="1" width="33.5546875" customWidth="1"/>
    <col min="2" max="2" width="15.77734375" customWidth="1"/>
    <col min="3" max="3" width="12.21875" customWidth="1"/>
    <col min="4" max="5" width="16" style="2" customWidth="1"/>
    <col min="6" max="6" width="13.77734375" style="2" customWidth="1"/>
    <col min="7" max="7" width="20.77734375" style="2" customWidth="1"/>
    <col min="8" max="8" width="10.77734375" style="2" bestFit="1" customWidth="1"/>
    <col min="9" max="9" width="10.5546875" style="2" customWidth="1"/>
    <col min="28" max="28" width="14.5546875" customWidth="1"/>
  </cols>
  <sheetData>
    <row r="1" spans="1:11" ht="21" x14ac:dyDescent="0.4">
      <c r="A1" s="1" t="s">
        <v>40</v>
      </c>
      <c r="B1" s="1"/>
      <c r="C1" s="1"/>
    </row>
    <row r="2" spans="1:11" ht="21" x14ac:dyDescent="0.4">
      <c r="A2" s="1"/>
      <c r="B2" s="1"/>
      <c r="C2" s="1"/>
    </row>
    <row r="3" spans="1:11" x14ac:dyDescent="0.3">
      <c r="A3" s="11" t="s">
        <v>1</v>
      </c>
      <c r="B3" s="11"/>
      <c r="C3" s="3"/>
      <c r="F3" s="156" t="s">
        <v>126</v>
      </c>
      <c r="G3" s="156"/>
      <c r="H3" s="156"/>
    </row>
    <row r="4" spans="1:11" x14ac:dyDescent="0.3">
      <c r="A4" s="3"/>
      <c r="B4" s="3"/>
      <c r="C4" s="3"/>
    </row>
    <row r="5" spans="1:11" x14ac:dyDescent="0.3">
      <c r="A5" s="6" t="s">
        <v>2</v>
      </c>
      <c r="B5" s="7" t="s">
        <v>3</v>
      </c>
      <c r="C5" s="3"/>
      <c r="E5" s="25"/>
      <c r="F5" s="25"/>
      <c r="G5" s="3" t="s">
        <v>25</v>
      </c>
    </row>
    <row r="6" spans="1:11" x14ac:dyDescent="0.3">
      <c r="A6" s="4" t="s">
        <v>5</v>
      </c>
      <c r="B6" s="5">
        <f>ROUND(('Bus Colombia'!H63+'Bus Colombia'!I63)/2,-3)</f>
        <v>305000</v>
      </c>
      <c r="D6" s="157" t="s">
        <v>31</v>
      </c>
      <c r="E6" s="158">
        <v>0.5</v>
      </c>
      <c r="F6" s="25"/>
      <c r="G6" s="6" t="s">
        <v>23</v>
      </c>
      <c r="H6" s="7" t="s">
        <v>24</v>
      </c>
    </row>
    <row r="7" spans="1:11" x14ac:dyDescent="0.3">
      <c r="A7" s="4" t="s">
        <v>4</v>
      </c>
      <c r="B7" s="5">
        <f>B11*'Bus Colombia'!B74</f>
        <v>1095.4741810188798</v>
      </c>
      <c r="D7" s="157"/>
      <c r="E7" s="158"/>
      <c r="F7" s="8"/>
      <c r="G7" s="4" t="s">
        <v>14</v>
      </c>
      <c r="H7" s="17">
        <v>0.4</v>
      </c>
    </row>
    <row r="8" spans="1:11" x14ac:dyDescent="0.3">
      <c r="A8" s="4" t="s">
        <v>18</v>
      </c>
      <c r="B8" s="15">
        <f>B11*'Bus Colombia'!B4*defaults!D24/10^6</f>
        <v>4.3612799999999993E-2</v>
      </c>
      <c r="D8" s="36"/>
      <c r="F8" s="8"/>
      <c r="G8" s="4" t="s">
        <v>42</v>
      </c>
      <c r="H8" s="34">
        <v>0</v>
      </c>
    </row>
    <row r="9" spans="1:11" x14ac:dyDescent="0.3">
      <c r="A9" s="4" t="s">
        <v>19</v>
      </c>
      <c r="B9" s="14">
        <f>B11*'Bus Colombia'!B4*defaults!C24/10^6</f>
        <v>5.1164800000000001</v>
      </c>
      <c r="E9" s="8"/>
      <c r="F9" s="8"/>
      <c r="G9" s="29" t="s">
        <v>43</v>
      </c>
      <c r="H9" s="17">
        <v>0.3</v>
      </c>
    </row>
    <row r="10" spans="1:11" x14ac:dyDescent="0.3">
      <c r="A10" s="4" t="s">
        <v>20</v>
      </c>
      <c r="B10" s="5">
        <f>B11/1000*'Bus Colombia'!B79</f>
        <v>10.650812159999997</v>
      </c>
      <c r="E10" s="8"/>
      <c r="F10" s="8"/>
      <c r="K10" s="35"/>
    </row>
    <row r="11" spans="1:11" x14ac:dyDescent="0.3">
      <c r="A11" s="4" t="s">
        <v>78</v>
      </c>
      <c r="B11" s="5">
        <f>'Bus Colombia'!B10</f>
        <v>16</v>
      </c>
      <c r="E11" s="8"/>
      <c r="F11" s="8"/>
      <c r="G11" s="3" t="s">
        <v>44</v>
      </c>
      <c r="J11" s="8"/>
      <c r="K11" s="2"/>
    </row>
    <row r="12" spans="1:11" x14ac:dyDescent="0.3">
      <c r="B12" s="8"/>
      <c r="E12" s="8"/>
      <c r="F12" s="8"/>
      <c r="G12" s="6" t="s">
        <v>23</v>
      </c>
      <c r="H12" s="7" t="s">
        <v>24</v>
      </c>
      <c r="J12" s="143"/>
      <c r="K12" s="144"/>
    </row>
    <row r="13" spans="1:11" x14ac:dyDescent="0.3">
      <c r="E13" s="8"/>
      <c r="F13" s="8"/>
      <c r="G13" s="4" t="s">
        <v>14</v>
      </c>
      <c r="H13" s="34">
        <v>0</v>
      </c>
      <c r="J13" s="143"/>
      <c r="K13" s="144"/>
    </row>
    <row r="14" spans="1:11" x14ac:dyDescent="0.3">
      <c r="B14" s="8"/>
      <c r="E14" s="8"/>
      <c r="F14" s="8"/>
      <c r="G14" s="4" t="s">
        <v>42</v>
      </c>
      <c r="H14" s="34">
        <v>0</v>
      </c>
      <c r="J14" s="36"/>
      <c r="K14" s="2"/>
    </row>
    <row r="15" spans="1:11" ht="15" thickBot="1" x14ac:dyDescent="0.35">
      <c r="B15" s="8"/>
      <c r="E15" s="8"/>
      <c r="F15" s="8"/>
      <c r="G15"/>
      <c r="H15" s="9"/>
    </row>
    <row r="16" spans="1:11" ht="15" thickBot="1" x14ac:dyDescent="0.35">
      <c r="E16" s="27"/>
      <c r="F16" s="155" t="s">
        <v>14</v>
      </c>
      <c r="G16" s="65" t="s">
        <v>124</v>
      </c>
      <c r="H16" s="63">
        <f>100%-H20-H13</f>
        <v>0.9</v>
      </c>
    </row>
    <row r="17" spans="1:26" ht="15" thickBot="1" x14ac:dyDescent="0.35">
      <c r="E17" s="26"/>
      <c r="F17" s="155"/>
      <c r="G17"/>
      <c r="H17" s="9"/>
    </row>
    <row r="18" spans="1:26" ht="15" thickBot="1" x14ac:dyDescent="0.35">
      <c r="E18" s="8"/>
      <c r="F18" s="155"/>
      <c r="G18" s="66" t="s">
        <v>122</v>
      </c>
      <c r="H18" s="64">
        <f>H16-H7</f>
        <v>0.5</v>
      </c>
    </row>
    <row r="19" spans="1:26" ht="15" thickBot="1" x14ac:dyDescent="0.35">
      <c r="B19" s="8"/>
      <c r="D19" s="8"/>
      <c r="E19" s="8"/>
      <c r="F19" s="155"/>
    </row>
    <row r="20" spans="1:26" ht="15" thickBot="1" x14ac:dyDescent="0.35">
      <c r="B20" s="8"/>
      <c r="D20" s="8"/>
      <c r="E20" s="8"/>
      <c r="F20" s="155"/>
      <c r="G20" s="67" t="s">
        <v>125</v>
      </c>
      <c r="H20" s="64">
        <v>0.1</v>
      </c>
    </row>
    <row r="21" spans="1:26" x14ac:dyDescent="0.3">
      <c r="A21" s="37" t="s">
        <v>6</v>
      </c>
      <c r="B21" s="37"/>
      <c r="C21" s="37"/>
      <c r="D21" s="8"/>
      <c r="E21" s="8"/>
      <c r="F21" s="8"/>
      <c r="G21" s="8"/>
    </row>
    <row r="22" spans="1:26" x14ac:dyDescent="0.3">
      <c r="A22" s="12" t="s">
        <v>41</v>
      </c>
      <c r="B22" s="37"/>
      <c r="C22" s="37"/>
      <c r="D22" s="8"/>
      <c r="E22" s="8"/>
      <c r="F22" s="8"/>
      <c r="G22" s="8"/>
    </row>
    <row r="23" spans="1:26" x14ac:dyDescent="0.3">
      <c r="D23" s="8"/>
      <c r="E23" s="8"/>
      <c r="F23" s="8"/>
      <c r="G23" s="8"/>
    </row>
    <row r="24" spans="1:26" x14ac:dyDescent="0.3">
      <c r="A24" s="11" t="s">
        <v>10</v>
      </c>
      <c r="B24" s="3"/>
      <c r="C24" s="3"/>
      <c r="D24" s="8"/>
      <c r="E24" s="8"/>
      <c r="F24" s="8"/>
      <c r="G24" s="8"/>
    </row>
    <row r="25" spans="1:26" x14ac:dyDescent="0.3">
      <c r="A25" s="138" t="s">
        <v>7</v>
      </c>
      <c r="B25" s="145" t="s">
        <v>14</v>
      </c>
      <c r="C25" s="145"/>
      <c r="D25" s="145"/>
      <c r="E25" s="145"/>
      <c r="F25" s="145"/>
      <c r="G25" s="147" t="s">
        <v>21</v>
      </c>
      <c r="H25" s="139" t="s">
        <v>9</v>
      </c>
      <c r="I25" s="139"/>
      <c r="J25" s="139"/>
      <c r="K25" s="139"/>
      <c r="L25" s="139"/>
      <c r="M25" s="139"/>
      <c r="N25" s="139"/>
      <c r="O25" s="139"/>
      <c r="P25" s="139" t="s">
        <v>8</v>
      </c>
      <c r="Q25" s="139"/>
      <c r="R25" s="139"/>
      <c r="S25" s="139"/>
      <c r="T25" s="139"/>
      <c r="U25" s="139"/>
      <c r="V25" s="139"/>
      <c r="W25" s="139"/>
      <c r="X25" s="146" t="s">
        <v>11</v>
      </c>
      <c r="Y25" s="146" t="s">
        <v>12</v>
      </c>
      <c r="Z25" s="146" t="s">
        <v>13</v>
      </c>
    </row>
    <row r="26" spans="1:26" x14ac:dyDescent="0.3">
      <c r="A26" s="138"/>
      <c r="B26" s="16" t="s">
        <v>38</v>
      </c>
      <c r="C26" s="16" t="s">
        <v>39</v>
      </c>
      <c r="D26" s="16" t="s">
        <v>15</v>
      </c>
      <c r="E26" s="16" t="s">
        <v>16</v>
      </c>
      <c r="F26" s="16">
        <v>26</v>
      </c>
      <c r="G26" s="147"/>
      <c r="H26" s="7" t="s">
        <v>363</v>
      </c>
      <c r="I26" s="7" t="s">
        <v>364</v>
      </c>
      <c r="J26" s="7" t="s">
        <v>365</v>
      </c>
      <c r="K26" s="7" t="s">
        <v>366</v>
      </c>
      <c r="L26" s="7" t="s">
        <v>367</v>
      </c>
      <c r="M26" s="127" t="s">
        <v>375</v>
      </c>
      <c r="N26" s="127" t="s">
        <v>376</v>
      </c>
      <c r="O26" s="7" t="s">
        <v>17</v>
      </c>
      <c r="P26" s="7" t="s">
        <v>363</v>
      </c>
      <c r="Q26" s="7" t="s">
        <v>364</v>
      </c>
      <c r="R26" s="7" t="s">
        <v>365</v>
      </c>
      <c r="S26" s="7" t="s">
        <v>366</v>
      </c>
      <c r="T26" s="7" t="s">
        <v>367</v>
      </c>
      <c r="U26" s="127" t="s">
        <v>375</v>
      </c>
      <c r="V26" s="127" t="s">
        <v>376</v>
      </c>
      <c r="W26" s="7" t="s">
        <v>17</v>
      </c>
      <c r="X26" s="146"/>
      <c r="Y26" s="146"/>
      <c r="Z26" s="146"/>
    </row>
    <row r="27" spans="1:26" x14ac:dyDescent="0.3">
      <c r="A27" s="4" t="s">
        <v>132</v>
      </c>
      <c r="B27" s="10">
        <v>306</v>
      </c>
      <c r="C27" s="10">
        <v>0</v>
      </c>
      <c r="D27" s="116">
        <f>199+493</f>
        <v>692</v>
      </c>
      <c r="E27" s="10">
        <v>89</v>
      </c>
      <c r="F27" s="10">
        <v>0</v>
      </c>
      <c r="G27" s="17">
        <v>0.4</v>
      </c>
      <c r="H27" s="22"/>
      <c r="I27" s="22"/>
      <c r="J27" s="4"/>
      <c r="K27" s="22"/>
      <c r="L27" s="169">
        <f>D27*B6/10^6*G27/2</f>
        <v>42.212000000000003</v>
      </c>
      <c r="M27" s="169">
        <f>L27</f>
        <v>42.212000000000003</v>
      </c>
      <c r="N27" s="4"/>
      <c r="O27" s="22">
        <f>SUM(H27:L27)</f>
        <v>42.212000000000003</v>
      </c>
      <c r="P27" s="4"/>
      <c r="Q27" s="5"/>
      <c r="R27" s="4"/>
      <c r="S27" s="5"/>
      <c r="T27" s="4">
        <f>G27*D27*B7</f>
        <v>303227.25330602593</v>
      </c>
      <c r="U27" s="4"/>
      <c r="V27" s="4"/>
      <c r="W27" s="5">
        <f>SUM(P27:T27)</f>
        <v>303227.25330602593</v>
      </c>
      <c r="X27" s="22">
        <f>D27*$B$8*G27</f>
        <v>12.072023039999998</v>
      </c>
      <c r="Y27" s="5">
        <f>D27*$B$9*G27</f>
        <v>1416.2416640000001</v>
      </c>
      <c r="Z27" s="5">
        <f>D27*$B$10*G27</f>
        <v>2948.1448058879996</v>
      </c>
    </row>
    <row r="28" spans="1:26" x14ac:dyDescent="0.3">
      <c r="A28" s="18" t="s">
        <v>17</v>
      </c>
      <c r="B28" s="28">
        <f>SUM(B27:B27)</f>
        <v>306</v>
      </c>
      <c r="C28" s="28">
        <f>SUM(C27:C27)</f>
        <v>0</v>
      </c>
      <c r="D28" s="19">
        <f>SUM(D27:D27)</f>
        <v>692</v>
      </c>
      <c r="E28" s="28">
        <f>SUM(E27:E27)</f>
        <v>89</v>
      </c>
      <c r="F28" s="28">
        <f>SUM(F27:F27)</f>
        <v>0</v>
      </c>
      <c r="G28" s="10"/>
      <c r="H28" s="20">
        <f>SUM(H27:H27)</f>
        <v>0</v>
      </c>
      <c r="I28" s="20">
        <f>SUM(I27:I27)</f>
        <v>0</v>
      </c>
      <c r="J28" s="20">
        <f>SUM(J27:J27)</f>
        <v>0</v>
      </c>
      <c r="K28" s="20">
        <f>SUM(K27:K27)</f>
        <v>0</v>
      </c>
      <c r="L28" s="20">
        <f>SUM(L27:L27)</f>
        <v>42.212000000000003</v>
      </c>
      <c r="M28" s="20">
        <f t="shared" ref="M28:N28" si="0">SUM(M27:M27)</f>
        <v>42.212000000000003</v>
      </c>
      <c r="N28" s="28">
        <f t="shared" si="0"/>
        <v>0</v>
      </c>
      <c r="O28" s="20">
        <f>SUM(H28:L28)</f>
        <v>42.212000000000003</v>
      </c>
      <c r="P28" s="19">
        <f>SUM(P27:P27)</f>
        <v>0</v>
      </c>
      <c r="Q28" s="19">
        <f>SUM(Q27:Q27)</f>
        <v>0</v>
      </c>
      <c r="R28" s="19">
        <f>SUM(R27:R27)</f>
        <v>0</v>
      </c>
      <c r="S28" s="19">
        <f>SUM(S27:S27)</f>
        <v>0</v>
      </c>
      <c r="T28" s="19">
        <f>SUM(T27:T27)</f>
        <v>303227.25330602593</v>
      </c>
      <c r="U28" s="19">
        <f t="shared" ref="U28:V28" si="1">SUM(U27:U27)</f>
        <v>0</v>
      </c>
      <c r="V28" s="19">
        <f t="shared" si="1"/>
        <v>0</v>
      </c>
      <c r="W28" s="19">
        <f>SUM(P28:T28)</f>
        <v>303227.25330602593</v>
      </c>
      <c r="X28" s="20">
        <f>SUM(X27:X27)</f>
        <v>12.072023039999998</v>
      </c>
      <c r="Y28" s="19">
        <f>SUM(Y27:Y27)</f>
        <v>1416.2416640000001</v>
      </c>
      <c r="Z28" s="19">
        <f>SUM(Z27:Z27)</f>
        <v>2948.1448058879996</v>
      </c>
    </row>
    <row r="29" spans="1:26" x14ac:dyDescent="0.3">
      <c r="B29" s="2"/>
      <c r="C29" s="2"/>
    </row>
    <row r="31" spans="1:26" x14ac:dyDescent="0.3">
      <c r="A31" s="3" t="s">
        <v>325</v>
      </c>
      <c r="B31" s="43"/>
    </row>
    <row r="32" spans="1:26" x14ac:dyDescent="0.3">
      <c r="A32" s="4" t="s">
        <v>326</v>
      </c>
      <c r="B32" s="5">
        <f>66*10^6*8</f>
        <v>528000000</v>
      </c>
      <c r="C32" s="4" t="s">
        <v>313</v>
      </c>
      <c r="E32" s="121" t="s">
        <v>341</v>
      </c>
    </row>
    <row r="33" spans="1:28" x14ac:dyDescent="0.3">
      <c r="A33" s="4" t="s">
        <v>327</v>
      </c>
      <c r="B33" s="5">
        <f>B32*'PT impact'!B5*('PT impact'!B12-'PT impact'!B11)*'PT impact'!B15/10^6</f>
        <v>107305.0136284177</v>
      </c>
      <c r="C33" s="4" t="s">
        <v>328</v>
      </c>
    </row>
    <row r="34" spans="1:28" x14ac:dyDescent="0.3">
      <c r="A34" s="4" t="s">
        <v>329</v>
      </c>
      <c r="B34" s="5">
        <f>B33*'PT impact'!B7</f>
        <v>2682625.3407104425</v>
      </c>
      <c r="C34" s="4" t="s">
        <v>328</v>
      </c>
    </row>
    <row r="35" spans="1:28" x14ac:dyDescent="0.3">
      <c r="A35" s="4" t="s">
        <v>330</v>
      </c>
      <c r="B35" s="5">
        <f>B32*'PT impact'!B5*'PT impact'!B15*('PT impact'!B14-'PT impact'!B13)/10^6</f>
        <v>1245.4401849418869</v>
      </c>
      <c r="C35" s="4" t="s">
        <v>136</v>
      </c>
    </row>
    <row r="36" spans="1:28" x14ac:dyDescent="0.3">
      <c r="A36" s="4" t="s">
        <v>331</v>
      </c>
      <c r="B36" s="5">
        <f>B35*'PT impact'!B7</f>
        <v>31136.004623547171</v>
      </c>
      <c r="C36" s="4" t="s">
        <v>136</v>
      </c>
    </row>
    <row r="39" spans="1:28" x14ac:dyDescent="0.3">
      <c r="A39" s="6" t="s">
        <v>340</v>
      </c>
      <c r="B39" s="7">
        <v>1</v>
      </c>
      <c r="C39" s="7">
        <v>2</v>
      </c>
      <c r="D39" s="7">
        <v>3</v>
      </c>
      <c r="E39" s="7">
        <v>4</v>
      </c>
      <c r="F39" s="7">
        <v>5</v>
      </c>
      <c r="G39" s="127">
        <v>6</v>
      </c>
      <c r="H39" s="127">
        <v>7</v>
      </c>
      <c r="I39" s="7" t="s">
        <v>339</v>
      </c>
    </row>
    <row r="40" spans="1:28" x14ac:dyDescent="0.3">
      <c r="A40" s="4" t="s">
        <v>332</v>
      </c>
      <c r="B40" s="10">
        <v>0</v>
      </c>
      <c r="C40" s="5">
        <v>0</v>
      </c>
      <c r="D40" s="5">
        <f>C40</f>
        <v>0</v>
      </c>
      <c r="E40" s="5">
        <f t="shared" ref="E40:F40" si="2">D40</f>
        <v>0</v>
      </c>
      <c r="F40" s="5">
        <f>T27/B11+B33</f>
        <v>126256.71696004432</v>
      </c>
      <c r="G40" s="5">
        <f t="shared" ref="G40:G43" si="3">F40</f>
        <v>126256.71696004432</v>
      </c>
      <c r="H40" s="5">
        <f t="shared" ref="H40:H43" si="4">G40</f>
        <v>126256.71696004432</v>
      </c>
      <c r="I40" s="5">
        <f>B34+T27</f>
        <v>2985852.5940164686</v>
      </c>
    </row>
    <row r="41" spans="1:28" x14ac:dyDescent="0.3">
      <c r="A41" s="4" t="s">
        <v>333</v>
      </c>
      <c r="B41" s="10">
        <v>0</v>
      </c>
      <c r="C41" s="122">
        <v>0</v>
      </c>
      <c r="D41" s="122">
        <f t="shared" ref="D41:F43" si="5">C41</f>
        <v>0</v>
      </c>
      <c r="E41" s="122">
        <f t="shared" si="5"/>
        <v>0</v>
      </c>
      <c r="F41" s="122">
        <f>X27/B11</f>
        <v>0.75450143999999986</v>
      </c>
      <c r="G41" s="122">
        <f t="shared" si="3"/>
        <v>0.75450143999999986</v>
      </c>
      <c r="H41" s="122">
        <f t="shared" si="4"/>
        <v>0.75450143999999986</v>
      </c>
      <c r="I41" s="22">
        <f>X27</f>
        <v>12.072023039999998</v>
      </c>
    </row>
    <row r="42" spans="1:28" x14ac:dyDescent="0.3">
      <c r="A42" s="4" t="s">
        <v>334</v>
      </c>
      <c r="B42" s="10">
        <v>0</v>
      </c>
      <c r="C42" s="22">
        <v>0</v>
      </c>
      <c r="D42" s="5">
        <f t="shared" si="5"/>
        <v>0</v>
      </c>
      <c r="E42" s="5">
        <f t="shared" si="5"/>
        <v>0</v>
      </c>
      <c r="F42" s="5">
        <f>Y27/B11</f>
        <v>88.515104000000008</v>
      </c>
      <c r="G42" s="5">
        <f t="shared" si="3"/>
        <v>88.515104000000008</v>
      </c>
      <c r="H42" s="5">
        <f t="shared" si="4"/>
        <v>88.515104000000008</v>
      </c>
      <c r="I42" s="5">
        <f>Y27</f>
        <v>1416.2416640000001</v>
      </c>
    </row>
    <row r="43" spans="1:28" x14ac:dyDescent="0.3">
      <c r="A43" s="4" t="s">
        <v>335</v>
      </c>
      <c r="B43" s="10">
        <v>0</v>
      </c>
      <c r="C43" s="5">
        <f>B35+Z27/B11</f>
        <v>1429.6992353098867</v>
      </c>
      <c r="D43" s="5">
        <f t="shared" si="5"/>
        <v>1429.6992353098867</v>
      </c>
      <c r="E43" s="5">
        <f t="shared" si="5"/>
        <v>1429.6992353098867</v>
      </c>
      <c r="F43" s="5">
        <f t="shared" si="5"/>
        <v>1429.6992353098867</v>
      </c>
      <c r="G43" s="5">
        <f t="shared" si="3"/>
        <v>1429.6992353098867</v>
      </c>
      <c r="H43" s="5">
        <f t="shared" si="4"/>
        <v>1429.6992353098867</v>
      </c>
      <c r="I43" s="5">
        <f>B36+Z27</f>
        <v>34084.149429435172</v>
      </c>
    </row>
    <row r="46" spans="1:28" x14ac:dyDescent="0.3">
      <c r="A46" s="3" t="s">
        <v>358</v>
      </c>
    </row>
    <row r="47" spans="1:28" x14ac:dyDescent="0.3">
      <c r="A47" s="7">
        <v>1</v>
      </c>
      <c r="B47" s="7">
        <v>2</v>
      </c>
      <c r="C47" s="7">
        <v>3</v>
      </c>
      <c r="D47" s="7">
        <v>4</v>
      </c>
      <c r="E47" s="7">
        <v>5</v>
      </c>
      <c r="F47" s="7">
        <v>6</v>
      </c>
      <c r="G47" s="7">
        <v>7</v>
      </c>
      <c r="H47" s="7">
        <v>8</v>
      </c>
      <c r="I47" s="7">
        <v>9</v>
      </c>
      <c r="J47" s="7">
        <v>10</v>
      </c>
      <c r="K47" s="7">
        <v>11</v>
      </c>
      <c r="L47" s="7">
        <v>12</v>
      </c>
      <c r="M47" s="7">
        <v>13</v>
      </c>
      <c r="N47" s="7">
        <v>14</v>
      </c>
      <c r="O47" s="7">
        <v>15</v>
      </c>
      <c r="P47" s="7">
        <v>16</v>
      </c>
      <c r="Q47" s="7">
        <v>17</v>
      </c>
      <c r="R47" s="7">
        <v>18</v>
      </c>
      <c r="S47" s="7">
        <v>19</v>
      </c>
      <c r="T47" s="7">
        <v>20</v>
      </c>
      <c r="U47" s="7">
        <v>21</v>
      </c>
      <c r="V47" s="7">
        <v>22</v>
      </c>
      <c r="W47" s="7">
        <v>23</v>
      </c>
      <c r="X47" s="7">
        <v>24</v>
      </c>
      <c r="Y47" s="7">
        <v>25</v>
      </c>
      <c r="Z47" s="7">
        <v>26</v>
      </c>
      <c r="AA47" s="7">
        <v>27</v>
      </c>
      <c r="AB47" s="6" t="s">
        <v>54</v>
      </c>
    </row>
    <row r="48" spans="1:28" x14ac:dyDescent="0.3">
      <c r="A48" s="10">
        <f>B38</f>
        <v>0</v>
      </c>
      <c r="B48" s="5">
        <f>C40</f>
        <v>0</v>
      </c>
      <c r="C48" s="5">
        <f>B48</f>
        <v>0</v>
      </c>
      <c r="D48" s="5">
        <f>C48</f>
        <v>0</v>
      </c>
      <c r="E48" s="5">
        <f>F40</f>
        <v>126256.71696004432</v>
      </c>
      <c r="F48" s="5">
        <f t="shared" ref="E48:L48" si="6">E48</f>
        <v>126256.71696004432</v>
      </c>
      <c r="G48" s="5">
        <f t="shared" si="6"/>
        <v>126256.71696004432</v>
      </c>
      <c r="H48" s="5">
        <f t="shared" si="6"/>
        <v>126256.71696004432</v>
      </c>
      <c r="I48" s="5">
        <f t="shared" si="6"/>
        <v>126256.71696004432</v>
      </c>
      <c r="J48" s="5">
        <f t="shared" si="6"/>
        <v>126256.71696004432</v>
      </c>
      <c r="K48" s="5">
        <f t="shared" si="6"/>
        <v>126256.71696004432</v>
      </c>
      <c r="L48" s="5">
        <f t="shared" si="6"/>
        <v>126256.71696004432</v>
      </c>
      <c r="M48" s="5">
        <f>L48</f>
        <v>126256.71696004432</v>
      </c>
      <c r="N48" s="5">
        <f>M48</f>
        <v>126256.71696004432</v>
      </c>
      <c r="O48" s="5">
        <f>N48</f>
        <v>126256.71696004432</v>
      </c>
      <c r="P48" s="5">
        <f>O48</f>
        <v>126256.71696004432</v>
      </c>
      <c r="Q48" s="5">
        <f>P48</f>
        <v>126256.71696004432</v>
      </c>
      <c r="R48" s="5">
        <f t="shared" ref="R48:T48" si="7">Q48</f>
        <v>126256.71696004432</v>
      </c>
      <c r="S48" s="5">
        <f t="shared" si="7"/>
        <v>126256.71696004432</v>
      </c>
      <c r="T48" s="5">
        <f t="shared" si="7"/>
        <v>126256.71696004432</v>
      </c>
      <c r="U48" s="5">
        <f>B33</f>
        <v>107305.0136284177</v>
      </c>
      <c r="V48" s="5">
        <f>U48</f>
        <v>107305.0136284177</v>
      </c>
      <c r="W48" s="5">
        <f>V48</f>
        <v>107305.0136284177</v>
      </c>
      <c r="X48" s="5">
        <f>W48</f>
        <v>107305.0136284177</v>
      </c>
      <c r="Y48" s="5">
        <f>X48</f>
        <v>107305.0136284177</v>
      </c>
      <c r="Z48" s="5">
        <f>Y48</f>
        <v>107305.0136284177</v>
      </c>
      <c r="AA48" s="5">
        <f>Z48</f>
        <v>107305.0136284177</v>
      </c>
      <c r="AB48" s="5">
        <f>SUM(A48:AA48)</f>
        <v>2771242.5667596329</v>
      </c>
    </row>
  </sheetData>
  <mergeCells count="14">
    <mergeCell ref="F3:H3"/>
    <mergeCell ref="D6:D7"/>
    <mergeCell ref="E6:E7"/>
    <mergeCell ref="J12:J13"/>
    <mergeCell ref="K12:K13"/>
    <mergeCell ref="A25:A26"/>
    <mergeCell ref="B25:F25"/>
    <mergeCell ref="G25:G26"/>
    <mergeCell ref="H25:O25"/>
    <mergeCell ref="F16:F20"/>
    <mergeCell ref="Y25:Y26"/>
    <mergeCell ref="Z25:Z26"/>
    <mergeCell ref="P25:W25"/>
    <mergeCell ref="X25:X2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topLeftCell="A35" workbookViewId="0">
      <selection activeCell="F56" sqref="F56"/>
    </sheetView>
  </sheetViews>
  <sheetFormatPr baseColWidth="10" defaultColWidth="9.109375" defaultRowHeight="14.4" x14ac:dyDescent="0.3"/>
  <cols>
    <col min="1" max="1" width="40.77734375" customWidth="1"/>
    <col min="2" max="2" width="9.5546875" bestFit="1" customWidth="1"/>
    <col min="3" max="3" width="10.77734375" customWidth="1"/>
    <col min="6" max="6" width="26.33203125" customWidth="1"/>
    <col min="8" max="8" width="13.109375" customWidth="1"/>
    <col min="9" max="9" width="10.44140625" customWidth="1"/>
  </cols>
  <sheetData>
    <row r="1" spans="1:12" ht="21" x14ac:dyDescent="0.4">
      <c r="A1" s="1" t="s">
        <v>138</v>
      </c>
    </row>
    <row r="3" spans="1:12" x14ac:dyDescent="0.3">
      <c r="A3" s="59" t="s">
        <v>2</v>
      </c>
      <c r="B3" s="44" t="s">
        <v>3</v>
      </c>
      <c r="C3" s="49" t="s">
        <v>80</v>
      </c>
      <c r="D3" s="151" t="s">
        <v>81</v>
      </c>
      <c r="E3" s="151"/>
      <c r="F3" s="151"/>
      <c r="G3" s="151"/>
      <c r="H3" s="151"/>
      <c r="I3" s="151"/>
      <c r="J3" s="151"/>
      <c r="K3" s="151"/>
      <c r="L3" s="151"/>
    </row>
    <row r="4" spans="1:12" x14ac:dyDescent="0.3">
      <c r="A4" s="82" t="s">
        <v>116</v>
      </c>
      <c r="B4" s="5">
        <v>59000</v>
      </c>
      <c r="C4" s="4" t="s">
        <v>84</v>
      </c>
      <c r="D4" s="134" t="s">
        <v>248</v>
      </c>
      <c r="E4" s="134"/>
      <c r="F4" s="134"/>
      <c r="G4" s="134"/>
      <c r="H4" s="134"/>
      <c r="I4" s="134"/>
      <c r="J4" s="134"/>
      <c r="K4" s="134"/>
      <c r="L4" s="134"/>
    </row>
    <row r="5" spans="1:12" x14ac:dyDescent="0.3">
      <c r="A5" s="82" t="s">
        <v>140</v>
      </c>
      <c r="B5" s="5">
        <f>B4/(365*0.9)*1.1</f>
        <v>197.56468797564688</v>
      </c>
      <c r="C5" s="4" t="s">
        <v>84</v>
      </c>
      <c r="D5" s="134" t="s">
        <v>249</v>
      </c>
      <c r="E5" s="134"/>
      <c r="F5" s="134"/>
      <c r="G5" s="134"/>
      <c r="H5" s="134"/>
      <c r="I5" s="134"/>
      <c r="J5" s="134"/>
      <c r="K5" s="134"/>
      <c r="L5" s="134"/>
    </row>
    <row r="6" spans="1:12" ht="14.25" customHeight="1" x14ac:dyDescent="0.3">
      <c r="A6" s="4" t="s">
        <v>142</v>
      </c>
      <c r="B6" s="10">
        <v>1.1000000000000001</v>
      </c>
      <c r="C6" s="4" t="s">
        <v>85</v>
      </c>
      <c r="D6" s="134" t="s">
        <v>250</v>
      </c>
      <c r="E6" s="134"/>
      <c r="F6" s="134"/>
      <c r="G6" s="134"/>
      <c r="H6" s="134"/>
      <c r="I6" s="134"/>
      <c r="J6" s="134"/>
      <c r="K6" s="134"/>
      <c r="L6" s="134"/>
    </row>
    <row r="7" spans="1:12" ht="14.25" customHeight="1" x14ac:dyDescent="0.3">
      <c r="A7" s="4" t="s">
        <v>117</v>
      </c>
      <c r="B7" s="22">
        <v>42</v>
      </c>
      <c r="C7" s="4" t="s">
        <v>118</v>
      </c>
      <c r="D7" s="134" t="s">
        <v>251</v>
      </c>
      <c r="E7" s="134"/>
      <c r="F7" s="134"/>
      <c r="G7" s="134"/>
      <c r="H7" s="134"/>
      <c r="I7" s="134"/>
      <c r="J7" s="134"/>
      <c r="K7" s="134"/>
      <c r="L7" s="134"/>
    </row>
    <row r="8" spans="1:12" ht="14.25" customHeight="1" x14ac:dyDescent="0.3">
      <c r="A8" s="4" t="s">
        <v>252</v>
      </c>
      <c r="B8" s="70">
        <v>0.13</v>
      </c>
      <c r="C8" s="4" t="s">
        <v>145</v>
      </c>
      <c r="D8" s="152" t="s">
        <v>253</v>
      </c>
      <c r="E8" s="153"/>
      <c r="F8" s="153"/>
      <c r="G8" s="153"/>
      <c r="H8" s="153"/>
      <c r="I8" s="153"/>
      <c r="J8" s="153"/>
      <c r="K8" s="153"/>
      <c r="L8" s="154"/>
    </row>
    <row r="9" spans="1:12" ht="14.25" customHeight="1" x14ac:dyDescent="0.3">
      <c r="A9" s="60" t="s">
        <v>119</v>
      </c>
      <c r="B9" s="10">
        <v>10</v>
      </c>
      <c r="C9" s="4" t="s">
        <v>83</v>
      </c>
      <c r="D9" s="134" t="s">
        <v>254</v>
      </c>
      <c r="E9" s="134"/>
      <c r="F9" s="134"/>
      <c r="G9" s="134"/>
      <c r="H9" s="134"/>
      <c r="I9" s="134"/>
      <c r="J9" s="134"/>
      <c r="K9" s="134"/>
      <c r="L9" s="134"/>
    </row>
    <row r="10" spans="1:12" ht="14.25" customHeight="1" x14ac:dyDescent="0.3">
      <c r="A10" s="60" t="s">
        <v>147</v>
      </c>
      <c r="B10" s="10">
        <v>16</v>
      </c>
      <c r="C10" s="4" t="s">
        <v>83</v>
      </c>
      <c r="D10" s="134" t="s">
        <v>254</v>
      </c>
      <c r="E10" s="134"/>
      <c r="F10" s="134"/>
      <c r="G10" s="134"/>
      <c r="H10" s="134"/>
      <c r="I10" s="134"/>
      <c r="J10" s="134"/>
      <c r="K10" s="134"/>
      <c r="L10" s="134"/>
    </row>
    <row r="11" spans="1:12" ht="14.25" customHeight="1" x14ac:dyDescent="0.3">
      <c r="A11" s="4" t="s">
        <v>149</v>
      </c>
      <c r="B11" s="10">
        <v>8</v>
      </c>
      <c r="C11" s="4" t="s">
        <v>83</v>
      </c>
      <c r="D11" s="134" t="s">
        <v>150</v>
      </c>
      <c r="E11" s="134"/>
      <c r="F11" s="134"/>
      <c r="G11" s="134"/>
      <c r="H11" s="134"/>
      <c r="I11" s="134"/>
      <c r="J11" s="134"/>
      <c r="K11" s="134"/>
      <c r="L11" s="134"/>
    </row>
    <row r="12" spans="1:12" ht="14.25" customHeight="1" x14ac:dyDescent="0.3">
      <c r="A12" s="4" t="s">
        <v>255</v>
      </c>
      <c r="B12" s="55">
        <v>7.3999999999999996E-2</v>
      </c>
      <c r="C12" s="4"/>
      <c r="D12" s="134" t="s">
        <v>256</v>
      </c>
      <c r="E12" s="134"/>
      <c r="F12" s="134"/>
      <c r="G12" s="134"/>
      <c r="H12" s="134"/>
      <c r="I12" s="134"/>
      <c r="J12" s="134"/>
      <c r="K12" s="134"/>
      <c r="L12" s="134"/>
    </row>
    <row r="13" spans="1:12" ht="14.25" customHeight="1" x14ac:dyDescent="0.3">
      <c r="A13" s="4" t="s">
        <v>257</v>
      </c>
      <c r="B13" s="10">
        <v>12</v>
      </c>
      <c r="C13" s="4" t="s">
        <v>83</v>
      </c>
      <c r="D13" s="134" t="s">
        <v>258</v>
      </c>
      <c r="E13" s="134"/>
      <c r="F13" s="134"/>
      <c r="G13" s="134"/>
      <c r="H13" s="134"/>
      <c r="I13" s="134"/>
      <c r="J13" s="134"/>
      <c r="K13" s="134"/>
      <c r="L13" s="134"/>
    </row>
    <row r="14" spans="1:12" x14ac:dyDescent="0.3">
      <c r="B14" s="2"/>
      <c r="D14" s="83"/>
      <c r="E14" s="83"/>
      <c r="F14" s="83"/>
      <c r="G14" s="83"/>
      <c r="H14" s="83"/>
    </row>
    <row r="15" spans="1:12" x14ac:dyDescent="0.3">
      <c r="A15" s="3" t="s">
        <v>151</v>
      </c>
      <c r="B15" s="2"/>
      <c r="D15" s="83"/>
      <c r="E15" s="83"/>
      <c r="F15" s="83"/>
      <c r="G15" s="83"/>
      <c r="H15" s="83"/>
    </row>
    <row r="16" spans="1:12" x14ac:dyDescent="0.3">
      <c r="A16" s="59" t="s">
        <v>2</v>
      </c>
      <c r="B16" s="44" t="s">
        <v>3</v>
      </c>
      <c r="C16" s="49" t="s">
        <v>80</v>
      </c>
      <c r="D16" s="151" t="s">
        <v>81</v>
      </c>
      <c r="E16" s="151"/>
      <c r="F16" s="151"/>
      <c r="G16" s="151"/>
      <c r="H16" s="151"/>
      <c r="I16" s="151"/>
      <c r="J16" s="151"/>
      <c r="K16" s="151"/>
      <c r="L16" s="151"/>
    </row>
    <row r="17" spans="1:12" x14ac:dyDescent="0.3">
      <c r="A17" s="58" t="s">
        <v>152</v>
      </c>
      <c r="B17" s="5">
        <v>190000</v>
      </c>
      <c r="C17" s="4" t="s">
        <v>153</v>
      </c>
      <c r="D17" s="134" t="s">
        <v>259</v>
      </c>
      <c r="E17" s="134"/>
      <c r="F17" s="134"/>
      <c r="G17" s="134"/>
      <c r="H17" s="134"/>
      <c r="I17" s="134"/>
      <c r="J17" s="134"/>
      <c r="K17" s="134"/>
      <c r="L17" s="134"/>
    </row>
    <row r="18" spans="1:12" ht="14.25" customHeight="1" x14ac:dyDescent="0.3">
      <c r="A18" s="58" t="s">
        <v>154</v>
      </c>
      <c r="B18" s="5">
        <f>270000+(C45-350)*B19</f>
        <v>274000</v>
      </c>
      <c r="C18" s="4" t="s">
        <v>153</v>
      </c>
      <c r="D18" s="134" t="s">
        <v>155</v>
      </c>
      <c r="E18" s="134"/>
      <c r="F18" s="134"/>
      <c r="G18" s="134"/>
      <c r="H18" s="134"/>
      <c r="I18" s="134"/>
      <c r="J18" s="134"/>
      <c r="K18" s="134"/>
      <c r="L18" s="134"/>
    </row>
    <row r="19" spans="1:12" ht="14.25" customHeight="1" x14ac:dyDescent="0.3">
      <c r="A19" s="58" t="s">
        <v>156</v>
      </c>
      <c r="B19" s="5">
        <v>200</v>
      </c>
      <c r="C19" s="4" t="s">
        <v>157</v>
      </c>
      <c r="D19" s="134" t="s">
        <v>158</v>
      </c>
      <c r="E19" s="134"/>
      <c r="F19" s="134"/>
      <c r="G19" s="134"/>
      <c r="H19" s="134"/>
      <c r="I19" s="134"/>
      <c r="J19" s="134"/>
      <c r="K19" s="134"/>
      <c r="L19" s="134"/>
    </row>
    <row r="20" spans="1:12" x14ac:dyDescent="0.3">
      <c r="A20" s="58" t="s">
        <v>159</v>
      </c>
      <c r="B20" s="5">
        <v>240000</v>
      </c>
      <c r="C20" s="4" t="s">
        <v>153</v>
      </c>
      <c r="D20" s="133" t="s">
        <v>260</v>
      </c>
      <c r="E20" s="133"/>
      <c r="F20" s="133"/>
      <c r="G20" s="133"/>
      <c r="H20" s="133"/>
      <c r="I20" s="133"/>
      <c r="J20" s="133"/>
      <c r="K20" s="133"/>
      <c r="L20" s="133"/>
    </row>
    <row r="21" spans="1:12" ht="14.25" customHeight="1" x14ac:dyDescent="0.3">
      <c r="A21" s="58" t="s">
        <v>161</v>
      </c>
      <c r="B21" s="5">
        <v>250</v>
      </c>
      <c r="C21" s="4" t="s">
        <v>157</v>
      </c>
      <c r="D21" s="134" t="s">
        <v>162</v>
      </c>
      <c r="E21" s="134"/>
      <c r="F21" s="134"/>
      <c r="G21" s="134"/>
      <c r="H21" s="134"/>
      <c r="I21" s="134"/>
      <c r="J21" s="134"/>
      <c r="K21" s="134"/>
      <c r="L21" s="134"/>
    </row>
    <row r="22" spans="1:12" ht="28.95" customHeight="1" x14ac:dyDescent="0.3">
      <c r="A22" s="58" t="s">
        <v>163</v>
      </c>
      <c r="B22" s="84">
        <v>0.5</v>
      </c>
      <c r="C22" s="58"/>
      <c r="D22" s="134" t="s">
        <v>164</v>
      </c>
      <c r="E22" s="134"/>
      <c r="F22" s="134"/>
      <c r="G22" s="134"/>
      <c r="H22" s="134"/>
      <c r="I22" s="134"/>
      <c r="J22" s="134"/>
      <c r="K22" s="134"/>
      <c r="L22" s="134"/>
    </row>
    <row r="23" spans="1:12" x14ac:dyDescent="0.3">
      <c r="A23" s="58" t="s">
        <v>165</v>
      </c>
      <c r="B23" s="45">
        <v>120</v>
      </c>
      <c r="C23" s="58" t="s">
        <v>166</v>
      </c>
      <c r="D23" s="134" t="s">
        <v>167</v>
      </c>
      <c r="E23" s="134"/>
      <c r="F23" s="134"/>
      <c r="G23" s="134"/>
      <c r="H23" s="134"/>
      <c r="I23" s="134"/>
      <c r="J23" s="134"/>
      <c r="K23" s="134"/>
      <c r="L23" s="134"/>
    </row>
    <row r="24" spans="1:12" x14ac:dyDescent="0.3">
      <c r="A24" s="58" t="s">
        <v>168</v>
      </c>
      <c r="B24" s="85">
        <f>5000/2</f>
        <v>2500</v>
      </c>
      <c r="C24" s="58" t="s">
        <v>169</v>
      </c>
      <c r="D24" s="134" t="s">
        <v>170</v>
      </c>
      <c r="E24" s="134"/>
      <c r="F24" s="134"/>
      <c r="G24" s="134"/>
      <c r="H24" s="134"/>
      <c r="I24" s="134"/>
      <c r="J24" s="134"/>
      <c r="K24" s="134"/>
      <c r="L24" s="134"/>
    </row>
    <row r="25" spans="1:12" ht="28.5" customHeight="1" x14ac:dyDescent="0.3">
      <c r="A25" s="58" t="s">
        <v>171</v>
      </c>
      <c r="B25" s="45">
        <f>(250+125)*20</f>
        <v>7500</v>
      </c>
      <c r="C25" s="58" t="s">
        <v>169</v>
      </c>
      <c r="D25" s="134" t="s">
        <v>172</v>
      </c>
      <c r="E25" s="134"/>
      <c r="F25" s="134"/>
      <c r="G25" s="134"/>
      <c r="H25" s="134"/>
      <c r="I25" s="134"/>
      <c r="J25" s="134"/>
      <c r="K25" s="134"/>
      <c r="L25" s="134"/>
    </row>
    <row r="26" spans="1:12" ht="27.45" customHeight="1" x14ac:dyDescent="0.3">
      <c r="A26" s="58" t="s">
        <v>173</v>
      </c>
      <c r="B26" s="45">
        <v>30000</v>
      </c>
      <c r="C26" s="58" t="s">
        <v>169</v>
      </c>
      <c r="D26" s="134" t="s">
        <v>174</v>
      </c>
      <c r="E26" s="134"/>
      <c r="F26" s="134"/>
      <c r="G26" s="134"/>
      <c r="H26" s="134"/>
      <c r="I26" s="134"/>
      <c r="J26" s="134"/>
      <c r="K26" s="134"/>
      <c r="L26" s="134"/>
    </row>
    <row r="27" spans="1:12" ht="28.8" x14ac:dyDescent="0.3">
      <c r="A27" s="60" t="s">
        <v>175</v>
      </c>
      <c r="B27" s="84">
        <v>0.7</v>
      </c>
      <c r="C27" s="58"/>
      <c r="D27" s="148" t="s">
        <v>176</v>
      </c>
      <c r="E27" s="148"/>
      <c r="F27" s="148"/>
      <c r="G27" s="148"/>
      <c r="H27" s="148"/>
      <c r="I27" s="148"/>
      <c r="J27" s="148"/>
      <c r="K27" s="148"/>
      <c r="L27" s="148"/>
    </row>
    <row r="28" spans="1:12" ht="28.8" x14ac:dyDescent="0.3">
      <c r="A28" s="60" t="s">
        <v>177</v>
      </c>
      <c r="B28" s="84">
        <v>1.2</v>
      </c>
      <c r="C28" s="58"/>
      <c r="D28" s="148" t="s">
        <v>178</v>
      </c>
      <c r="E28" s="148"/>
      <c r="F28" s="148"/>
      <c r="G28" s="148"/>
      <c r="H28" s="148"/>
      <c r="I28" s="148"/>
      <c r="J28" s="148"/>
      <c r="K28" s="148"/>
      <c r="L28" s="148"/>
    </row>
    <row r="29" spans="1:12" x14ac:dyDescent="0.3">
      <c r="A29" s="60" t="s">
        <v>179</v>
      </c>
      <c r="B29" s="85">
        <v>10</v>
      </c>
      <c r="C29" s="58" t="s">
        <v>83</v>
      </c>
      <c r="D29" s="148" t="s">
        <v>180</v>
      </c>
      <c r="E29" s="148"/>
      <c r="F29" s="148"/>
      <c r="G29" s="148"/>
      <c r="H29" s="148"/>
      <c r="I29" s="148"/>
      <c r="J29" s="148"/>
      <c r="K29" s="148"/>
      <c r="L29" s="148"/>
    </row>
    <row r="30" spans="1:12" x14ac:dyDescent="0.3">
      <c r="A30" s="60" t="s">
        <v>181</v>
      </c>
      <c r="B30" s="85">
        <v>20</v>
      </c>
      <c r="C30" s="58" t="s">
        <v>83</v>
      </c>
      <c r="D30" s="148" t="s">
        <v>180</v>
      </c>
      <c r="E30" s="148"/>
      <c r="F30" s="148"/>
      <c r="G30" s="148"/>
      <c r="H30" s="148"/>
      <c r="I30" s="148"/>
      <c r="J30" s="148"/>
      <c r="K30" s="148"/>
      <c r="L30" s="148"/>
    </row>
    <row r="31" spans="1:12" x14ac:dyDescent="0.3">
      <c r="A31" s="60" t="s">
        <v>182</v>
      </c>
      <c r="B31" s="85">
        <v>20</v>
      </c>
      <c r="C31" s="58" t="s">
        <v>83</v>
      </c>
      <c r="D31" s="148" t="s">
        <v>180</v>
      </c>
      <c r="E31" s="148"/>
      <c r="F31" s="148"/>
      <c r="G31" s="148"/>
      <c r="H31" s="148"/>
      <c r="I31" s="148"/>
      <c r="J31" s="148"/>
      <c r="K31" s="148"/>
      <c r="L31" s="148"/>
    </row>
    <row r="32" spans="1:12" x14ac:dyDescent="0.3">
      <c r="A32" s="60" t="s">
        <v>183</v>
      </c>
      <c r="B32" s="84">
        <v>0.02</v>
      </c>
      <c r="C32" s="58"/>
      <c r="D32" s="148" t="s">
        <v>184</v>
      </c>
      <c r="E32" s="148"/>
      <c r="F32" s="148"/>
      <c r="G32" s="148"/>
      <c r="H32" s="148"/>
      <c r="I32" s="148"/>
      <c r="J32" s="148"/>
      <c r="K32" s="148"/>
      <c r="L32" s="148"/>
    </row>
    <row r="33" spans="1:12" x14ac:dyDescent="0.3">
      <c r="A33" s="86"/>
      <c r="B33" s="87"/>
      <c r="C33" s="88"/>
      <c r="D33" s="149"/>
      <c r="E33" s="149"/>
      <c r="F33" s="149"/>
      <c r="G33" s="149"/>
      <c r="H33" s="149"/>
      <c r="I33" s="149"/>
      <c r="J33" s="149"/>
      <c r="K33" s="149"/>
      <c r="L33" s="149"/>
    </row>
    <row r="34" spans="1:12" x14ac:dyDescent="0.3">
      <c r="A34" s="86"/>
      <c r="B34" s="87"/>
      <c r="C34" s="88"/>
      <c r="D34" s="89"/>
      <c r="E34" s="89"/>
      <c r="F34" s="89"/>
      <c r="G34" s="89"/>
      <c r="H34" s="89"/>
      <c r="I34" s="89"/>
      <c r="J34" s="89"/>
      <c r="K34" s="89"/>
      <c r="L34" s="89"/>
    </row>
    <row r="35" spans="1:12" x14ac:dyDescent="0.3">
      <c r="D35" s="150"/>
      <c r="E35" s="150"/>
      <c r="F35" s="150"/>
      <c r="G35" s="150"/>
      <c r="H35" s="150"/>
    </row>
    <row r="36" spans="1:12" x14ac:dyDescent="0.3">
      <c r="A36" s="90" t="s">
        <v>185</v>
      </c>
    </row>
    <row r="38" spans="1:12" x14ac:dyDescent="0.3">
      <c r="A38" s="3" t="s">
        <v>186</v>
      </c>
    </row>
    <row r="39" spans="1:12" x14ac:dyDescent="0.3">
      <c r="A39" s="49" t="s">
        <v>2</v>
      </c>
      <c r="B39" s="7" t="s">
        <v>80</v>
      </c>
      <c r="C39" s="7" t="s">
        <v>3</v>
      </c>
    </row>
    <row r="40" spans="1:12" x14ac:dyDescent="0.3">
      <c r="A40" s="29" t="s">
        <v>187</v>
      </c>
      <c r="B40" s="10" t="s">
        <v>84</v>
      </c>
      <c r="C40" s="5">
        <f>B5</f>
        <v>197.56468797564688</v>
      </c>
    </row>
    <row r="41" spans="1:12" x14ac:dyDescent="0.3">
      <c r="A41" s="29" t="s">
        <v>188</v>
      </c>
      <c r="B41" s="10" t="s">
        <v>82</v>
      </c>
      <c r="C41" s="22">
        <f>C40*B6</f>
        <v>217.32115677321158</v>
      </c>
    </row>
    <row r="42" spans="1:12" x14ac:dyDescent="0.3">
      <c r="A42" s="29" t="s">
        <v>189</v>
      </c>
      <c r="B42" s="10"/>
      <c r="C42" s="17">
        <v>0.1</v>
      </c>
    </row>
    <row r="43" spans="1:12" x14ac:dyDescent="0.3">
      <c r="A43" s="29" t="s">
        <v>190</v>
      </c>
      <c r="B43" s="10"/>
      <c r="C43" s="17">
        <v>0.2</v>
      </c>
    </row>
    <row r="44" spans="1:12" x14ac:dyDescent="0.3">
      <c r="A44" s="29" t="s">
        <v>191</v>
      </c>
      <c r="B44" s="10"/>
      <c r="C44" s="17">
        <v>0.2</v>
      </c>
    </row>
    <row r="45" spans="1:12" x14ac:dyDescent="0.3">
      <c r="A45" s="91" t="s">
        <v>192</v>
      </c>
      <c r="B45" s="28" t="s">
        <v>82</v>
      </c>
      <c r="C45" s="19">
        <f>ROUND(((C41*(100%+C42))/(100%-C43))/(100%-C44),-1)</f>
        <v>370</v>
      </c>
    </row>
    <row r="47" spans="1:12" x14ac:dyDescent="0.3">
      <c r="A47" s="92" t="s">
        <v>193</v>
      </c>
    </row>
    <row r="48" spans="1:12" x14ac:dyDescent="0.3">
      <c r="A48" s="49" t="s">
        <v>2</v>
      </c>
      <c r="B48" s="7" t="s">
        <v>80</v>
      </c>
      <c r="C48" s="7" t="s">
        <v>3</v>
      </c>
    </row>
    <row r="49" spans="1:9" x14ac:dyDescent="0.3">
      <c r="A49" s="4" t="s">
        <v>194</v>
      </c>
      <c r="B49" s="61" t="s">
        <v>82</v>
      </c>
      <c r="C49" s="62">
        <f>C45</f>
        <v>370</v>
      </c>
    </row>
    <row r="50" spans="1:9" x14ac:dyDescent="0.3">
      <c r="A50" s="4" t="s">
        <v>195</v>
      </c>
      <c r="B50" s="61" t="s">
        <v>82</v>
      </c>
      <c r="C50" s="62">
        <f>C41</f>
        <v>217.32115677321158</v>
      </c>
    </row>
    <row r="51" spans="1:9" x14ac:dyDescent="0.3">
      <c r="A51" s="52" t="s">
        <v>196</v>
      </c>
      <c r="B51" s="61" t="s">
        <v>197</v>
      </c>
      <c r="C51" s="61">
        <v>6</v>
      </c>
    </row>
    <row r="52" spans="1:9" x14ac:dyDescent="0.3">
      <c r="A52" s="52" t="s">
        <v>198</v>
      </c>
      <c r="B52" s="61"/>
      <c r="C52" s="84">
        <v>0.9</v>
      </c>
    </row>
    <row r="53" spans="1:9" ht="28.8" x14ac:dyDescent="0.3">
      <c r="A53" s="52" t="s">
        <v>199</v>
      </c>
      <c r="B53" s="61" t="s">
        <v>200</v>
      </c>
      <c r="C53" s="45">
        <f>ROUND((C50/C52)/(C51-1),-1)</f>
        <v>50</v>
      </c>
    </row>
    <row r="55" spans="1:9" x14ac:dyDescent="0.3">
      <c r="A55" s="93" t="s">
        <v>201</v>
      </c>
    </row>
    <row r="56" spans="1:9" x14ac:dyDescent="0.3">
      <c r="F56" s="3" t="s">
        <v>372</v>
      </c>
    </row>
    <row r="57" spans="1:9" x14ac:dyDescent="0.3">
      <c r="A57" s="49" t="s">
        <v>2</v>
      </c>
      <c r="B57" s="7" t="s">
        <v>80</v>
      </c>
      <c r="C57" s="7" t="s">
        <v>3</v>
      </c>
      <c r="F57" t="s">
        <v>368</v>
      </c>
    </row>
    <row r="58" spans="1:9" x14ac:dyDescent="0.3">
      <c r="A58" s="29" t="s">
        <v>202</v>
      </c>
      <c r="B58" s="10" t="s">
        <v>82</v>
      </c>
      <c r="C58" s="5">
        <v>200</v>
      </c>
      <c r="F58" s="6" t="s">
        <v>2</v>
      </c>
      <c r="G58" s="7" t="s">
        <v>72</v>
      </c>
      <c r="H58" s="7" t="s">
        <v>232</v>
      </c>
      <c r="I58" s="7" t="s">
        <v>233</v>
      </c>
    </row>
    <row r="59" spans="1:9" x14ac:dyDescent="0.3">
      <c r="A59" s="29" t="s">
        <v>203</v>
      </c>
      <c r="B59" s="10"/>
      <c r="C59" s="70">
        <v>0.65</v>
      </c>
      <c r="F59" s="4" t="s">
        <v>234</v>
      </c>
      <c r="G59" s="5">
        <v>190000</v>
      </c>
      <c r="H59" s="5">
        <v>274000</v>
      </c>
      <c r="I59" s="5">
        <v>240000</v>
      </c>
    </row>
    <row r="60" spans="1:9" x14ac:dyDescent="0.3">
      <c r="A60" s="29" t="s">
        <v>204</v>
      </c>
      <c r="B60" s="10" t="s">
        <v>82</v>
      </c>
      <c r="C60" s="94">
        <f>C58*C59/2</f>
        <v>65</v>
      </c>
      <c r="F60" s="4" t="s">
        <v>235</v>
      </c>
      <c r="G60" s="10">
        <v>0</v>
      </c>
      <c r="H60" s="5">
        <v>8500</v>
      </c>
      <c r="I60" s="5">
        <v>12112.5</v>
      </c>
    </row>
    <row r="61" spans="1:9" ht="28.8" x14ac:dyDescent="0.3">
      <c r="A61" s="50" t="s">
        <v>205</v>
      </c>
      <c r="B61" s="61" t="s">
        <v>82</v>
      </c>
      <c r="C61" s="85">
        <f>C50-C58*0.8</f>
        <v>57.321156773211584</v>
      </c>
      <c r="F61" s="4" t="s">
        <v>236</v>
      </c>
      <c r="G61" s="10">
        <v>0</v>
      </c>
      <c r="H61" s="5">
        <v>30000</v>
      </c>
      <c r="I61" s="5">
        <v>30000</v>
      </c>
    </row>
    <row r="62" spans="1:9" x14ac:dyDescent="0.3">
      <c r="A62" s="50" t="s">
        <v>206</v>
      </c>
      <c r="B62" s="61"/>
      <c r="C62" s="84">
        <f>C61/C50</f>
        <v>0.26376243171312513</v>
      </c>
      <c r="F62" s="4" t="s">
        <v>237</v>
      </c>
      <c r="G62" s="10">
        <v>0</v>
      </c>
      <c r="H62" s="5">
        <v>7500</v>
      </c>
      <c r="I62" s="5">
        <v>7500</v>
      </c>
    </row>
    <row r="63" spans="1:9" x14ac:dyDescent="0.3">
      <c r="A63" s="50" t="s">
        <v>207</v>
      </c>
      <c r="B63" s="61" t="s">
        <v>200</v>
      </c>
      <c r="C63" s="85">
        <v>300</v>
      </c>
      <c r="F63" s="4" t="s">
        <v>238</v>
      </c>
      <c r="G63" s="5">
        <v>190000</v>
      </c>
      <c r="H63" s="5">
        <v>320000</v>
      </c>
      <c r="I63" s="5">
        <v>289612.5</v>
      </c>
    </row>
    <row r="64" spans="1:9" x14ac:dyDescent="0.3">
      <c r="A64" s="52" t="s">
        <v>208</v>
      </c>
      <c r="B64" s="61"/>
      <c r="C64" s="84">
        <v>0.9</v>
      </c>
      <c r="F64" s="4" t="s">
        <v>239</v>
      </c>
      <c r="G64" s="10">
        <v>0</v>
      </c>
      <c r="H64" s="5">
        <v>37000</v>
      </c>
      <c r="I64" s="5">
        <v>25000</v>
      </c>
    </row>
    <row r="65" spans="1:9" ht="28.8" x14ac:dyDescent="0.3">
      <c r="A65" s="50" t="s">
        <v>209</v>
      </c>
      <c r="B65" s="61" t="s">
        <v>210</v>
      </c>
      <c r="C65" s="85">
        <f>C61/(C63*C64/60)</f>
        <v>12.738034838491464</v>
      </c>
      <c r="F65" s="4" t="s">
        <v>240</v>
      </c>
      <c r="G65" s="5">
        <v>15115.8</v>
      </c>
      <c r="H65" s="5">
        <v>11033.000000000002</v>
      </c>
      <c r="I65" s="5">
        <v>11033.000000000002</v>
      </c>
    </row>
    <row r="66" spans="1:9" ht="28.8" x14ac:dyDescent="0.3">
      <c r="A66" s="82" t="s">
        <v>211</v>
      </c>
      <c r="B66" s="95" t="s">
        <v>212</v>
      </c>
      <c r="C66" s="85">
        <f>MIN(8,360/(C65*2))</f>
        <v>8</v>
      </c>
      <c r="F66" s="4" t="s">
        <v>241</v>
      </c>
      <c r="G66" s="5">
        <v>7670</v>
      </c>
      <c r="H66" s="5">
        <v>5369</v>
      </c>
      <c r="I66" s="5">
        <v>5369</v>
      </c>
    </row>
    <row r="67" spans="1:9" x14ac:dyDescent="0.3">
      <c r="A67" s="82" t="s">
        <v>213</v>
      </c>
      <c r="B67" s="95"/>
      <c r="C67" s="45">
        <f>ROUND(((C50-C61)/C52)/(C51-1),-1)</f>
        <v>40</v>
      </c>
      <c r="F67" s="4" t="s">
        <v>242</v>
      </c>
      <c r="G67" s="5">
        <v>0</v>
      </c>
      <c r="H67" s="5">
        <v>920</v>
      </c>
      <c r="I67" s="5">
        <v>992.25</v>
      </c>
    </row>
    <row r="68" spans="1:9" ht="30" customHeight="1" x14ac:dyDescent="0.3">
      <c r="A68" s="150" t="s">
        <v>214</v>
      </c>
      <c r="B68" s="150"/>
      <c r="C68" s="150"/>
      <c r="F68" s="4" t="s">
        <v>243</v>
      </c>
      <c r="G68" s="5">
        <v>4118.3844113151854</v>
      </c>
      <c r="H68" s="5">
        <v>9347.9734104580511</v>
      </c>
      <c r="I68" s="5">
        <v>8188.0059069705549</v>
      </c>
    </row>
    <row r="69" spans="1:9" x14ac:dyDescent="0.3">
      <c r="A69" s="89"/>
      <c r="B69" s="96"/>
      <c r="C69" s="97"/>
      <c r="F69" s="4" t="s">
        <v>244</v>
      </c>
      <c r="G69" s="5">
        <v>4937.4665029231019</v>
      </c>
      <c r="H69" s="5">
        <v>747.64799999999991</v>
      </c>
      <c r="I69" s="5">
        <v>747.64799999999991</v>
      </c>
    </row>
    <row r="70" spans="1:9" x14ac:dyDescent="0.3">
      <c r="F70" s="4" t="s">
        <v>245</v>
      </c>
      <c r="G70" s="15">
        <v>0.7687299405051945</v>
      </c>
      <c r="H70" s="15">
        <v>0.82853749257118292</v>
      </c>
      <c r="I70" s="15">
        <v>0.76817917613971365</v>
      </c>
    </row>
    <row r="71" spans="1:9" x14ac:dyDescent="0.3">
      <c r="A71" s="6" t="s">
        <v>324</v>
      </c>
      <c r="B71" s="7" t="s">
        <v>319</v>
      </c>
      <c r="C71" s="7" t="s">
        <v>320</v>
      </c>
      <c r="F71" s="4" t="s">
        <v>246</v>
      </c>
      <c r="G71" s="15">
        <v>0.86521091987791043</v>
      </c>
      <c r="H71" s="15">
        <v>0.84314697118199389</v>
      </c>
      <c r="I71" s="15">
        <v>0.78278865475052506</v>
      </c>
    </row>
    <row r="72" spans="1:9" x14ac:dyDescent="0.3">
      <c r="A72" s="4" t="s">
        <v>215</v>
      </c>
      <c r="B72" s="5">
        <f>B4*B7/100*defaults!B8*defaults!B7*defaults!B6*(100%+defaults!B9)/10^6</f>
        <v>81.966336313679989</v>
      </c>
      <c r="C72" s="5">
        <f>B7/100*defaults!B8*defaults!B7*defaults!B6*(100%+defaults!B9)</f>
        <v>1389.2599375199998</v>
      </c>
      <c r="F72" s="12" t="s">
        <v>262</v>
      </c>
    </row>
    <row r="73" spans="1:9" x14ac:dyDescent="0.3">
      <c r="A73" s="4" t="s">
        <v>216</v>
      </c>
      <c r="B73" s="5">
        <f>B6*B4/1000*'Grid Factors'!B6</f>
        <v>13.4992</v>
      </c>
      <c r="C73" s="22">
        <f>B6*'Grid Factors'!B6*1000</f>
        <v>228.8</v>
      </c>
    </row>
    <row r="74" spans="1:9" x14ac:dyDescent="0.3">
      <c r="A74" s="4" t="s">
        <v>218</v>
      </c>
      <c r="B74" s="5">
        <f>B72-B73</f>
        <v>68.467136313679987</v>
      </c>
      <c r="C74" s="5">
        <f>C72-C73</f>
        <v>1160.4599375199998</v>
      </c>
    </row>
    <row r="75" spans="1:9" x14ac:dyDescent="0.3">
      <c r="B75" s="98"/>
    </row>
    <row r="76" spans="1:9" x14ac:dyDescent="0.3">
      <c r="A76" s="6" t="s">
        <v>230</v>
      </c>
      <c r="B76" s="99"/>
    </row>
    <row r="77" spans="1:9" x14ac:dyDescent="0.3">
      <c r="A77" s="4" t="s">
        <v>227</v>
      </c>
      <c r="B77" s="5">
        <f>B4*B7/100*defaults!B8*defaults!B6/1000</f>
        <v>899.31575999999995</v>
      </c>
    </row>
    <row r="78" spans="1:9" x14ac:dyDescent="0.3">
      <c r="A78" s="4" t="s">
        <v>228</v>
      </c>
      <c r="B78" s="5">
        <f>B6*B4*defaults!B20/1000</f>
        <v>233.64000000000004</v>
      </c>
    </row>
    <row r="79" spans="1:9" x14ac:dyDescent="0.3">
      <c r="A79" s="4" t="s">
        <v>229</v>
      </c>
      <c r="B79" s="5">
        <f>B77-B78</f>
        <v>665.67575999999985</v>
      </c>
    </row>
  </sheetData>
  <mergeCells count="31">
    <mergeCell ref="D16:L16"/>
    <mergeCell ref="D3:L3"/>
    <mergeCell ref="D4:L4"/>
    <mergeCell ref="D5:L5"/>
    <mergeCell ref="D6:L6"/>
    <mergeCell ref="D7:L7"/>
    <mergeCell ref="D8:L8"/>
    <mergeCell ref="D9:L9"/>
    <mergeCell ref="D10:L10"/>
    <mergeCell ref="D11:L11"/>
    <mergeCell ref="D12:L12"/>
    <mergeCell ref="D13:L13"/>
    <mergeCell ref="D28:L28"/>
    <mergeCell ref="D17:L17"/>
    <mergeCell ref="D18:L18"/>
    <mergeCell ref="D19:L19"/>
    <mergeCell ref="D20:L20"/>
    <mergeCell ref="D21:L21"/>
    <mergeCell ref="D22:L22"/>
    <mergeCell ref="D23:L23"/>
    <mergeCell ref="D24:L24"/>
    <mergeCell ref="D25:L25"/>
    <mergeCell ref="D26:L26"/>
    <mergeCell ref="D27:L27"/>
    <mergeCell ref="A68:C68"/>
    <mergeCell ref="D29:L29"/>
    <mergeCell ref="D30:L30"/>
    <mergeCell ref="D31:L31"/>
    <mergeCell ref="D32:L32"/>
    <mergeCell ref="D33:L33"/>
    <mergeCell ref="D35:H3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1"/>
  <sheetViews>
    <sheetView topLeftCell="A5" zoomScale="55" zoomScaleNormal="55" workbookViewId="0">
      <selection activeCell="G32" sqref="G32:H36"/>
    </sheetView>
  </sheetViews>
  <sheetFormatPr baseColWidth="10" defaultColWidth="9.109375" defaultRowHeight="14.4" x14ac:dyDescent="0.3"/>
  <cols>
    <col min="1" max="1" width="33.5546875" customWidth="1"/>
    <col min="2" max="2" width="15.77734375" customWidth="1"/>
    <col min="3" max="3" width="12.21875" customWidth="1"/>
    <col min="4" max="5" width="16" style="2" customWidth="1"/>
    <col min="6" max="6" width="13.77734375" style="2" customWidth="1"/>
    <col min="7" max="7" width="17.77734375" style="2" customWidth="1"/>
    <col min="8" max="8" width="22.33203125" style="2" customWidth="1"/>
    <col min="9" max="9" width="10.5546875" style="2" customWidth="1"/>
    <col min="10" max="10" width="11.33203125" customWidth="1"/>
  </cols>
  <sheetData>
    <row r="1" spans="1:11" ht="21" x14ac:dyDescent="0.4">
      <c r="A1" s="1" t="s">
        <v>45</v>
      </c>
      <c r="B1" s="1"/>
      <c r="C1" s="1"/>
    </row>
    <row r="2" spans="1:11" ht="21" x14ac:dyDescent="0.4">
      <c r="A2" s="1"/>
      <c r="B2" s="1"/>
      <c r="C2" s="1"/>
    </row>
    <row r="3" spans="1:11" x14ac:dyDescent="0.3">
      <c r="A3" s="11" t="s">
        <v>1</v>
      </c>
      <c r="B3" s="11"/>
      <c r="C3" s="3"/>
      <c r="G3" s="156" t="s">
        <v>126</v>
      </c>
      <c r="H3" s="156"/>
      <c r="I3" s="156"/>
    </row>
    <row r="4" spans="1:11" x14ac:dyDescent="0.3">
      <c r="A4" s="3"/>
      <c r="B4" s="3"/>
      <c r="C4" s="3"/>
    </row>
    <row r="5" spans="1:11" x14ac:dyDescent="0.3">
      <c r="A5" s="6" t="s">
        <v>2</v>
      </c>
      <c r="B5" s="7" t="s">
        <v>3</v>
      </c>
      <c r="C5" s="3"/>
      <c r="E5" s="25"/>
      <c r="F5" s="25"/>
      <c r="G5" s="3" t="s">
        <v>25</v>
      </c>
    </row>
    <row r="6" spans="1:11" x14ac:dyDescent="0.3">
      <c r="A6" s="4" t="s">
        <v>5</v>
      </c>
      <c r="B6" s="5">
        <f>ROUND(('Bus Mexico'!G58+'Bus Mexico'!H58)/2,-3)</f>
        <v>316000</v>
      </c>
      <c r="D6" s="157" t="s">
        <v>31</v>
      </c>
      <c r="E6" s="158">
        <v>0.5</v>
      </c>
      <c r="F6" s="25"/>
      <c r="G6" s="6" t="s">
        <v>23</v>
      </c>
      <c r="H6" s="7" t="s">
        <v>24</v>
      </c>
    </row>
    <row r="7" spans="1:11" x14ac:dyDescent="0.3">
      <c r="A7" s="4" t="s">
        <v>4</v>
      </c>
      <c r="B7" s="5">
        <f>B11*'Bus Mexico'!B71</f>
        <v>1738.9809246025943</v>
      </c>
      <c r="D7" s="157"/>
      <c r="E7" s="158"/>
      <c r="F7" s="8"/>
      <c r="G7" s="4" t="s">
        <v>14</v>
      </c>
      <c r="H7" s="17">
        <v>0.4</v>
      </c>
    </row>
    <row r="8" spans="1:11" x14ac:dyDescent="0.3">
      <c r="A8" s="4" t="s">
        <v>18</v>
      </c>
      <c r="B8" s="15">
        <f>B11*defaults!D24*'Bus Mexico'!B4/10^6</f>
        <v>5.7671460000000001E-2</v>
      </c>
      <c r="D8" s="36"/>
      <c r="F8" s="8"/>
      <c r="G8" s="4" t="s">
        <v>42</v>
      </c>
      <c r="H8" s="34">
        <v>0</v>
      </c>
    </row>
    <row r="9" spans="1:11" x14ac:dyDescent="0.3">
      <c r="A9" s="4" t="s">
        <v>19</v>
      </c>
      <c r="B9" s="14">
        <f>B11*'Bus Mexico'!B4*defaults!C24/10^6</f>
        <v>6.7657860000000003</v>
      </c>
      <c r="E9" s="8"/>
      <c r="F9" s="8"/>
      <c r="G9" s="29" t="s">
        <v>43</v>
      </c>
      <c r="H9" s="17">
        <v>0.3</v>
      </c>
    </row>
    <row r="10" spans="1:11" x14ac:dyDescent="0.3">
      <c r="A10" s="4" t="s">
        <v>20</v>
      </c>
      <c r="B10" s="5">
        <f>B11*'Bus Mexico'!B76/1000</f>
        <v>19.54500421621621</v>
      </c>
      <c r="E10" s="8"/>
      <c r="F10" s="8"/>
      <c r="K10" s="35"/>
    </row>
    <row r="11" spans="1:11" x14ac:dyDescent="0.3">
      <c r="A11" s="4" t="s">
        <v>78</v>
      </c>
      <c r="B11" s="5">
        <f>'Bus Mexico'!B11</f>
        <v>16</v>
      </c>
      <c r="E11" s="8"/>
      <c r="F11" s="8"/>
      <c r="G11" s="3" t="s">
        <v>44</v>
      </c>
      <c r="J11" s="8"/>
      <c r="K11" s="2"/>
    </row>
    <row r="12" spans="1:11" x14ac:dyDescent="0.3">
      <c r="B12" s="8"/>
      <c r="E12" s="8"/>
      <c r="F12" s="8"/>
      <c r="G12" s="6" t="s">
        <v>23</v>
      </c>
      <c r="H12" s="7" t="s">
        <v>24</v>
      </c>
      <c r="J12" s="143"/>
      <c r="K12" s="144"/>
    </row>
    <row r="13" spans="1:11" x14ac:dyDescent="0.3">
      <c r="B13" s="8"/>
      <c r="E13" s="8"/>
      <c r="F13" s="8"/>
      <c r="G13" s="4" t="s">
        <v>14</v>
      </c>
      <c r="H13" s="34">
        <v>0</v>
      </c>
      <c r="J13" s="143"/>
      <c r="K13" s="144"/>
    </row>
    <row r="14" spans="1:11" x14ac:dyDescent="0.3">
      <c r="B14" s="8"/>
      <c r="E14" s="8"/>
      <c r="F14" s="8"/>
      <c r="G14" s="4" t="s">
        <v>42</v>
      </c>
      <c r="H14" s="34">
        <v>0</v>
      </c>
      <c r="J14" s="36"/>
      <c r="K14" s="2"/>
    </row>
    <row r="15" spans="1:11" ht="15" thickBot="1" x14ac:dyDescent="0.35">
      <c r="B15" s="8"/>
      <c r="E15" s="8"/>
      <c r="F15" s="8"/>
      <c r="G15"/>
      <c r="H15" s="9"/>
    </row>
    <row r="16" spans="1:11" ht="15" thickBot="1" x14ac:dyDescent="0.35">
      <c r="B16" s="27"/>
      <c r="E16" s="27"/>
      <c r="F16" s="8"/>
      <c r="G16" s="159" t="s">
        <v>14</v>
      </c>
      <c r="H16" s="65" t="s">
        <v>124</v>
      </c>
      <c r="I16" s="63">
        <f>100%-I20-H13</f>
        <v>0.9</v>
      </c>
    </row>
    <row r="17" spans="1:26" ht="15" thickBot="1" x14ac:dyDescent="0.35">
      <c r="B17" s="26"/>
      <c r="E17" s="26"/>
      <c r="F17" s="8"/>
      <c r="G17" s="160"/>
      <c r="H17"/>
      <c r="I17" s="9"/>
    </row>
    <row r="18" spans="1:26" ht="15" thickBot="1" x14ac:dyDescent="0.35">
      <c r="B18" s="8"/>
      <c r="E18" s="8"/>
      <c r="F18" s="8"/>
      <c r="G18" s="160"/>
      <c r="H18" s="66" t="s">
        <v>122</v>
      </c>
      <c r="I18" s="64">
        <f>I16-H7</f>
        <v>0.5</v>
      </c>
    </row>
    <row r="19" spans="1:26" ht="15" thickBot="1" x14ac:dyDescent="0.35">
      <c r="B19" s="8"/>
      <c r="D19" s="8"/>
      <c r="E19" s="8"/>
      <c r="F19" s="8"/>
      <c r="G19" s="160"/>
    </row>
    <row r="20" spans="1:26" ht="15" thickBot="1" x14ac:dyDescent="0.35">
      <c r="B20" s="8"/>
      <c r="D20" s="8"/>
      <c r="E20" s="8"/>
      <c r="F20" s="8"/>
      <c r="G20" s="161"/>
      <c r="H20" s="67" t="s">
        <v>125</v>
      </c>
      <c r="I20" s="64">
        <v>0.1</v>
      </c>
    </row>
    <row r="21" spans="1:26" x14ac:dyDescent="0.3">
      <c r="B21" s="8"/>
      <c r="D21" s="8"/>
      <c r="E21" s="8"/>
      <c r="F21" s="8"/>
    </row>
    <row r="22" spans="1:26" x14ac:dyDescent="0.3">
      <c r="A22" s="37" t="s">
        <v>6</v>
      </c>
      <c r="B22" s="37"/>
      <c r="C22" s="37"/>
      <c r="D22" s="8"/>
      <c r="E22" s="8"/>
      <c r="F22" s="8"/>
      <c r="G22" s="8"/>
    </row>
    <row r="23" spans="1:26" x14ac:dyDescent="0.3">
      <c r="A23" s="12" t="s">
        <v>46</v>
      </c>
      <c r="B23" s="37"/>
      <c r="C23" s="37"/>
      <c r="D23" s="8"/>
      <c r="E23" s="8"/>
      <c r="F23" s="8"/>
      <c r="G23" s="8"/>
    </row>
    <row r="24" spans="1:26" x14ac:dyDescent="0.3">
      <c r="D24" s="8"/>
      <c r="E24" s="8"/>
      <c r="F24" s="8"/>
      <c r="G24" s="8"/>
    </row>
    <row r="25" spans="1:26" x14ac:dyDescent="0.3">
      <c r="A25" s="11" t="s">
        <v>10</v>
      </c>
      <c r="B25" s="3"/>
      <c r="C25" s="3"/>
      <c r="D25" s="8"/>
      <c r="E25" s="8"/>
      <c r="F25" s="8"/>
      <c r="G25" s="8"/>
    </row>
    <row r="26" spans="1:26" x14ac:dyDescent="0.3">
      <c r="A26" s="138" t="s">
        <v>7</v>
      </c>
      <c r="B26" s="145" t="s">
        <v>14</v>
      </c>
      <c r="C26" s="145"/>
      <c r="D26" s="145"/>
      <c r="E26" s="145"/>
      <c r="F26" s="145"/>
      <c r="G26" s="147" t="s">
        <v>21</v>
      </c>
      <c r="H26" s="139" t="s">
        <v>9</v>
      </c>
      <c r="I26" s="139"/>
      <c r="J26" s="139"/>
      <c r="K26" s="139"/>
      <c r="L26" s="139"/>
      <c r="M26" s="139"/>
      <c r="N26" s="139"/>
      <c r="O26" s="139"/>
      <c r="P26" s="139" t="s">
        <v>8</v>
      </c>
      <c r="Q26" s="139"/>
      <c r="R26" s="139"/>
      <c r="S26" s="139"/>
      <c r="T26" s="139"/>
      <c r="U26" s="139"/>
      <c r="V26" s="139"/>
      <c r="W26" s="139"/>
      <c r="X26" s="146" t="s">
        <v>11</v>
      </c>
      <c r="Y26" s="146" t="s">
        <v>12</v>
      </c>
      <c r="Z26" s="146" t="s">
        <v>13</v>
      </c>
    </row>
    <row r="27" spans="1:26" x14ac:dyDescent="0.3">
      <c r="A27" s="138"/>
      <c r="B27" s="16" t="s">
        <v>38</v>
      </c>
      <c r="C27" s="16" t="s">
        <v>39</v>
      </c>
      <c r="D27" s="16" t="s">
        <v>15</v>
      </c>
      <c r="E27" s="16" t="s">
        <v>16</v>
      </c>
      <c r="F27" s="16">
        <v>26</v>
      </c>
      <c r="G27" s="147"/>
      <c r="H27" s="7" t="s">
        <v>363</v>
      </c>
      <c r="I27" s="7" t="s">
        <v>364</v>
      </c>
      <c r="J27" s="7" t="s">
        <v>365</v>
      </c>
      <c r="K27" s="7" t="s">
        <v>366</v>
      </c>
      <c r="L27" s="7" t="s">
        <v>367</v>
      </c>
      <c r="M27" s="127" t="s">
        <v>375</v>
      </c>
      <c r="N27" s="127" t="s">
        <v>376</v>
      </c>
      <c r="O27" s="7" t="s">
        <v>17</v>
      </c>
      <c r="P27" s="7" t="s">
        <v>363</v>
      </c>
      <c r="Q27" s="7" t="s">
        <v>364</v>
      </c>
      <c r="R27" s="7" t="s">
        <v>365</v>
      </c>
      <c r="S27" s="7" t="s">
        <v>366</v>
      </c>
      <c r="T27" s="7" t="s">
        <v>367</v>
      </c>
      <c r="U27" s="127" t="s">
        <v>375</v>
      </c>
      <c r="V27" s="127" t="s">
        <v>376</v>
      </c>
      <c r="W27" s="7" t="s">
        <v>17</v>
      </c>
      <c r="X27" s="146"/>
      <c r="Y27" s="146"/>
      <c r="Z27" s="146"/>
    </row>
    <row r="28" spans="1:26" x14ac:dyDescent="0.3">
      <c r="A28" s="4" t="s">
        <v>134</v>
      </c>
      <c r="B28" s="10">
        <v>0</v>
      </c>
      <c r="C28" s="10">
        <v>0</v>
      </c>
      <c r="D28" s="10">
        <v>200</v>
      </c>
      <c r="E28" s="10">
        <v>0</v>
      </c>
      <c r="F28" s="10">
        <v>0</v>
      </c>
      <c r="G28" s="17">
        <v>1</v>
      </c>
      <c r="H28" s="10"/>
      <c r="I28" s="22">
        <f>D28*G28*B6/10^6</f>
        <v>63.2</v>
      </c>
      <c r="J28" s="22"/>
      <c r="K28" s="10"/>
      <c r="L28" s="10"/>
      <c r="M28" s="10"/>
      <c r="N28" s="10"/>
      <c r="O28" s="22">
        <f>SUM(H28:L28)</f>
        <v>63.2</v>
      </c>
      <c r="Q28" s="5">
        <f>D28*G28*B7</f>
        <v>347796.18492051889</v>
      </c>
      <c r="R28" s="21"/>
      <c r="S28" s="4"/>
      <c r="T28" s="4"/>
      <c r="U28" s="4"/>
      <c r="V28" s="4"/>
      <c r="W28" s="5">
        <f t="shared" ref="W28:W29" si="0">SUM(P28:T28)</f>
        <v>347796.18492051889</v>
      </c>
      <c r="X28" s="22">
        <f>G28*D28*B8</f>
        <v>11.534292000000001</v>
      </c>
      <c r="Y28" s="5">
        <f>B9*D28*G28</f>
        <v>1353.1572000000001</v>
      </c>
      <c r="Z28" s="5">
        <f>B10*D28*G28</f>
        <v>3909.0008432432419</v>
      </c>
    </row>
    <row r="29" spans="1:26" x14ac:dyDescent="0.3">
      <c r="A29" s="18" t="s">
        <v>17</v>
      </c>
      <c r="B29" s="28">
        <f>SUM(B28:B28)</f>
        <v>0</v>
      </c>
      <c r="C29" s="28">
        <f>SUM(C28:C28)</f>
        <v>0</v>
      </c>
      <c r="D29" s="19">
        <f>SUM(D28:D28)</f>
        <v>200</v>
      </c>
      <c r="E29" s="28">
        <f>SUM(E28:E28)</f>
        <v>0</v>
      </c>
      <c r="F29" s="28">
        <f>SUM(F28:F28)</f>
        <v>0</v>
      </c>
      <c r="G29" s="10"/>
      <c r="H29" s="20">
        <f>SUM(H28:H28)</f>
        <v>0</v>
      </c>
      <c r="I29" s="20">
        <f>SUM(I28:I28)</f>
        <v>63.2</v>
      </c>
      <c r="J29" s="20">
        <f>SUM(J28:J28)</f>
        <v>0</v>
      </c>
      <c r="K29" s="20">
        <f>SUM(K28:K28)</f>
        <v>0</v>
      </c>
      <c r="L29" s="20">
        <f>SUM(L28:L28)</f>
        <v>0</v>
      </c>
      <c r="M29" s="20"/>
      <c r="N29" s="20"/>
      <c r="O29" s="20">
        <f t="shared" ref="O29" si="1">SUM(H29:L29)</f>
        <v>63.2</v>
      </c>
      <c r="P29" s="19">
        <f>SUM(P28:P28)</f>
        <v>0</v>
      </c>
      <c r="Q29" s="19">
        <f>SUM(Q28:Q28)</f>
        <v>347796.18492051889</v>
      </c>
      <c r="R29" s="19">
        <f>SUM(R28:R28)</f>
        <v>0</v>
      </c>
      <c r="S29" s="19">
        <f>SUM(S28:S28)</f>
        <v>0</v>
      </c>
      <c r="T29" s="19">
        <f>SUM(T28:T28)</f>
        <v>0</v>
      </c>
      <c r="U29" s="19"/>
      <c r="V29" s="19"/>
      <c r="W29" s="19">
        <f t="shared" si="0"/>
        <v>347796.18492051889</v>
      </c>
      <c r="X29" s="20">
        <f>SUM(X28:X28)</f>
        <v>11.534292000000001</v>
      </c>
      <c r="Y29" s="19">
        <f>SUM(Y28:Y28)</f>
        <v>1353.1572000000001</v>
      </c>
      <c r="Z29" s="19">
        <f>SUM(Z28:Z28)</f>
        <v>3909.0008432432419</v>
      </c>
    </row>
    <row r="30" spans="1:26" x14ac:dyDescent="0.3">
      <c r="B30" s="2"/>
      <c r="C30" s="2"/>
    </row>
    <row r="32" spans="1:26" x14ac:dyDescent="0.3">
      <c r="A32" s="6" t="s">
        <v>343</v>
      </c>
      <c r="B32" s="7">
        <v>1</v>
      </c>
      <c r="C32" s="7">
        <v>2</v>
      </c>
      <c r="D32" s="7">
        <v>3</v>
      </c>
      <c r="E32" s="7">
        <v>4</v>
      </c>
      <c r="F32" s="7">
        <v>5</v>
      </c>
      <c r="G32" s="127">
        <v>6</v>
      </c>
      <c r="H32" s="127">
        <v>7</v>
      </c>
      <c r="I32" s="7" t="s">
        <v>339</v>
      </c>
    </row>
    <row r="33" spans="1:28" x14ac:dyDescent="0.3">
      <c r="A33" s="4" t="s">
        <v>332</v>
      </c>
      <c r="B33" s="10">
        <v>0</v>
      </c>
      <c r="C33" s="5">
        <f>Q28/B11</f>
        <v>21737.261557532431</v>
      </c>
      <c r="D33" s="5">
        <f>C33</f>
        <v>21737.261557532431</v>
      </c>
      <c r="E33" s="5">
        <f t="shared" ref="E33:F33" si="2">D33</f>
        <v>21737.261557532431</v>
      </c>
      <c r="F33" s="5">
        <f t="shared" si="2"/>
        <v>21737.261557532431</v>
      </c>
      <c r="G33" s="5">
        <f t="shared" ref="G33:G36" si="3">F33</f>
        <v>21737.261557532431</v>
      </c>
      <c r="H33" s="5">
        <f t="shared" ref="H33:H36" si="4">G33</f>
        <v>21737.261557532431</v>
      </c>
      <c r="I33" s="5">
        <f>Q28</f>
        <v>347796.18492051889</v>
      </c>
    </row>
    <row r="34" spans="1:28" x14ac:dyDescent="0.3">
      <c r="A34" s="4" t="s">
        <v>333</v>
      </c>
      <c r="B34" s="10">
        <v>0</v>
      </c>
      <c r="C34" s="122">
        <f>X28/B11</f>
        <v>0.72089325000000004</v>
      </c>
      <c r="D34" s="122">
        <f t="shared" ref="D34:F36" si="5">C34</f>
        <v>0.72089325000000004</v>
      </c>
      <c r="E34" s="122">
        <f t="shared" si="5"/>
        <v>0.72089325000000004</v>
      </c>
      <c r="F34" s="122">
        <f t="shared" si="5"/>
        <v>0.72089325000000004</v>
      </c>
      <c r="G34" s="122">
        <f t="shared" si="3"/>
        <v>0.72089325000000004</v>
      </c>
      <c r="H34" s="122">
        <f t="shared" si="4"/>
        <v>0.72089325000000004</v>
      </c>
      <c r="I34" s="22">
        <f>X28</f>
        <v>11.534292000000001</v>
      </c>
    </row>
    <row r="35" spans="1:28" x14ac:dyDescent="0.3">
      <c r="A35" s="4" t="s">
        <v>334</v>
      </c>
      <c r="B35" s="10">
        <v>0</v>
      </c>
      <c r="C35" s="22">
        <f>Y28/B11</f>
        <v>84.572325000000006</v>
      </c>
      <c r="D35" s="5">
        <f t="shared" si="5"/>
        <v>84.572325000000006</v>
      </c>
      <c r="E35" s="5">
        <f t="shared" si="5"/>
        <v>84.572325000000006</v>
      </c>
      <c r="F35" s="5">
        <f t="shared" si="5"/>
        <v>84.572325000000006</v>
      </c>
      <c r="G35" s="5">
        <f t="shared" si="3"/>
        <v>84.572325000000006</v>
      </c>
      <c r="H35" s="5">
        <f t="shared" si="4"/>
        <v>84.572325000000006</v>
      </c>
      <c r="I35" s="5">
        <f>Y28</f>
        <v>1353.1572000000001</v>
      </c>
    </row>
    <row r="36" spans="1:28" x14ac:dyDescent="0.3">
      <c r="A36" s="4" t="s">
        <v>335</v>
      </c>
      <c r="B36" s="10">
        <v>0</v>
      </c>
      <c r="C36" s="5">
        <f>Z28/B11</f>
        <v>244.31255270270262</v>
      </c>
      <c r="D36" s="5">
        <f t="shared" si="5"/>
        <v>244.31255270270262</v>
      </c>
      <c r="E36" s="5">
        <f t="shared" si="5"/>
        <v>244.31255270270262</v>
      </c>
      <c r="F36" s="5">
        <f t="shared" si="5"/>
        <v>244.31255270270262</v>
      </c>
      <c r="G36" s="5">
        <f t="shared" si="3"/>
        <v>244.31255270270262</v>
      </c>
      <c r="H36" s="5">
        <f t="shared" si="4"/>
        <v>244.31255270270262</v>
      </c>
      <c r="I36" s="5">
        <f>Z28</f>
        <v>3909.0008432432419</v>
      </c>
    </row>
    <row r="39" spans="1:28" ht="30.75" customHeight="1" x14ac:dyDescent="0.3">
      <c r="A39" s="3" t="s">
        <v>359</v>
      </c>
    </row>
    <row r="40" spans="1:28" x14ac:dyDescent="0.3">
      <c r="A40" s="7">
        <v>1</v>
      </c>
      <c r="B40" s="7">
        <v>2</v>
      </c>
      <c r="C40" s="7">
        <v>3</v>
      </c>
      <c r="D40" s="7">
        <v>4</v>
      </c>
      <c r="E40" s="7">
        <v>5</v>
      </c>
      <c r="F40" s="7">
        <v>6</v>
      </c>
      <c r="G40" s="7">
        <v>7</v>
      </c>
      <c r="H40" s="7">
        <v>8</v>
      </c>
      <c r="I40" s="7">
        <v>9</v>
      </c>
      <c r="J40" s="7">
        <v>10</v>
      </c>
      <c r="K40" s="7">
        <v>11</v>
      </c>
      <c r="L40" s="7">
        <v>12</v>
      </c>
      <c r="M40" s="7">
        <v>13</v>
      </c>
      <c r="N40" s="7">
        <v>14</v>
      </c>
      <c r="O40" s="7">
        <v>15</v>
      </c>
      <c r="P40" s="7">
        <v>16</v>
      </c>
      <c r="Q40" s="7">
        <v>17</v>
      </c>
      <c r="R40" s="7">
        <v>18</v>
      </c>
      <c r="S40" s="7">
        <v>19</v>
      </c>
      <c r="T40" s="7">
        <v>20</v>
      </c>
      <c r="U40" s="7">
        <v>21</v>
      </c>
      <c r="V40" s="7">
        <v>22</v>
      </c>
      <c r="W40" s="7">
        <v>23</v>
      </c>
      <c r="X40" s="7">
        <v>24</v>
      </c>
      <c r="Y40" s="7">
        <v>25</v>
      </c>
      <c r="Z40" s="7">
        <v>26</v>
      </c>
      <c r="AA40" s="7">
        <v>27</v>
      </c>
      <c r="AB40" s="6" t="s">
        <v>54</v>
      </c>
    </row>
    <row r="41" spans="1:28" x14ac:dyDescent="0.3">
      <c r="A41" s="10">
        <f>B31</f>
        <v>0</v>
      </c>
      <c r="B41" s="5">
        <f>C33</f>
        <v>21737.261557532431</v>
      </c>
      <c r="C41" s="5">
        <f>B41</f>
        <v>21737.261557532431</v>
      </c>
      <c r="D41" s="5">
        <f>C41</f>
        <v>21737.261557532431</v>
      </c>
      <c r="E41" s="5">
        <f t="shared" ref="E41:AD41" si="6">D41</f>
        <v>21737.261557532431</v>
      </c>
      <c r="F41" s="5">
        <f t="shared" si="6"/>
        <v>21737.261557532431</v>
      </c>
      <c r="G41" s="5">
        <f t="shared" si="6"/>
        <v>21737.261557532431</v>
      </c>
      <c r="H41" s="5">
        <f t="shared" si="6"/>
        <v>21737.261557532431</v>
      </c>
      <c r="I41" s="5">
        <f t="shared" si="6"/>
        <v>21737.261557532431</v>
      </c>
      <c r="J41" s="5">
        <f t="shared" si="6"/>
        <v>21737.261557532431</v>
      </c>
      <c r="K41" s="5">
        <f t="shared" si="6"/>
        <v>21737.261557532431</v>
      </c>
      <c r="L41" s="5">
        <f t="shared" si="6"/>
        <v>21737.261557532431</v>
      </c>
      <c r="M41" s="5">
        <f>L41</f>
        <v>21737.261557532431</v>
      </c>
      <c r="N41" s="5">
        <f>M41</f>
        <v>21737.261557532431</v>
      </c>
      <c r="O41" s="5">
        <f>N41</f>
        <v>21737.261557532431</v>
      </c>
      <c r="P41" s="5">
        <f>O41</f>
        <v>21737.261557532431</v>
      </c>
      <c r="Q41" s="5">
        <f>P41</f>
        <v>21737.261557532431</v>
      </c>
      <c r="R41" s="5">
        <v>0</v>
      </c>
      <c r="S41" s="5">
        <v>0</v>
      </c>
      <c r="T41" s="5">
        <f>S41</f>
        <v>0</v>
      </c>
      <c r="U41" s="5">
        <f>T41</f>
        <v>0</v>
      </c>
      <c r="V41" s="5">
        <f>U41</f>
        <v>0</v>
      </c>
      <c r="W41" s="5">
        <f>V41</f>
        <v>0</v>
      </c>
      <c r="X41" s="5">
        <f>W41</f>
        <v>0</v>
      </c>
      <c r="Y41" s="5">
        <f>X41</f>
        <v>0</v>
      </c>
      <c r="Z41" s="5">
        <f>Y41</f>
        <v>0</v>
      </c>
      <c r="AA41" s="5">
        <v>0</v>
      </c>
      <c r="AB41" s="5">
        <f>SUM(A41:AA41)</f>
        <v>347796.18492051878</v>
      </c>
    </row>
  </sheetData>
  <mergeCells count="14">
    <mergeCell ref="G3:I3"/>
    <mergeCell ref="D6:D7"/>
    <mergeCell ref="E6:E7"/>
    <mergeCell ref="J12:J13"/>
    <mergeCell ref="K12:K13"/>
    <mergeCell ref="A26:A27"/>
    <mergeCell ref="B26:F26"/>
    <mergeCell ref="G26:G27"/>
    <mergeCell ref="H26:O26"/>
    <mergeCell ref="G16:G20"/>
    <mergeCell ref="Y26:Y27"/>
    <mergeCell ref="Z26:Z27"/>
    <mergeCell ref="P26:W26"/>
    <mergeCell ref="X26:X2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topLeftCell="A58" workbookViewId="0">
      <selection activeCell="J57" sqref="J57"/>
    </sheetView>
  </sheetViews>
  <sheetFormatPr baseColWidth="10" defaultColWidth="9.109375" defaultRowHeight="14.4" x14ac:dyDescent="0.3"/>
  <cols>
    <col min="1" max="1" width="40.77734375" customWidth="1"/>
    <col min="2" max="2" width="10.5546875" bestFit="1" customWidth="1"/>
    <col min="3" max="3" width="10.77734375" customWidth="1"/>
    <col min="5" max="5" width="25.5546875" customWidth="1"/>
    <col min="7" max="7" width="14.44140625" customWidth="1"/>
  </cols>
  <sheetData>
    <row r="1" spans="1:12" ht="21" x14ac:dyDescent="0.4">
      <c r="A1" s="1" t="s">
        <v>138</v>
      </c>
    </row>
    <row r="3" spans="1:12" x14ac:dyDescent="0.3">
      <c r="A3" s="59" t="s">
        <v>2</v>
      </c>
      <c r="B3" s="44" t="s">
        <v>3</v>
      </c>
      <c r="C3" s="49" t="s">
        <v>80</v>
      </c>
      <c r="D3" s="151" t="s">
        <v>81</v>
      </c>
      <c r="E3" s="151"/>
      <c r="F3" s="151"/>
      <c r="G3" s="151"/>
      <c r="H3" s="151"/>
      <c r="I3" s="151"/>
      <c r="J3" s="151"/>
      <c r="K3" s="151"/>
      <c r="L3" s="151"/>
    </row>
    <row r="4" spans="1:12" x14ac:dyDescent="0.3">
      <c r="A4" s="82" t="s">
        <v>116</v>
      </c>
      <c r="B4" s="5">
        <f>225*365*0.95</f>
        <v>78018.75</v>
      </c>
      <c r="C4" s="4" t="s">
        <v>84</v>
      </c>
      <c r="D4" s="134" t="s">
        <v>373</v>
      </c>
      <c r="E4" s="134"/>
      <c r="F4" s="134"/>
      <c r="G4" s="134"/>
      <c r="H4" s="134"/>
      <c r="I4" s="134"/>
      <c r="J4" s="134"/>
      <c r="K4" s="134"/>
      <c r="L4" s="134"/>
    </row>
    <row r="5" spans="1:12" x14ac:dyDescent="0.3">
      <c r="A5" s="82" t="s">
        <v>140</v>
      </c>
      <c r="B5" s="5">
        <v>225</v>
      </c>
      <c r="C5" s="4" t="s">
        <v>84</v>
      </c>
      <c r="D5" s="134" t="s">
        <v>263</v>
      </c>
      <c r="E5" s="134"/>
      <c r="F5" s="134"/>
      <c r="G5" s="134"/>
      <c r="H5" s="134"/>
      <c r="I5" s="134"/>
      <c r="J5" s="134"/>
      <c r="K5" s="134"/>
      <c r="L5" s="134"/>
    </row>
    <row r="6" spans="1:12" ht="14.25" customHeight="1" x14ac:dyDescent="0.3">
      <c r="A6" s="4" t="s">
        <v>142</v>
      </c>
      <c r="B6" s="10">
        <v>1.1000000000000001</v>
      </c>
      <c r="C6" s="4" t="s">
        <v>85</v>
      </c>
      <c r="D6" s="134" t="s">
        <v>264</v>
      </c>
      <c r="E6" s="134"/>
      <c r="F6" s="134"/>
      <c r="G6" s="134"/>
      <c r="H6" s="134"/>
      <c r="I6" s="134"/>
      <c r="J6" s="134"/>
      <c r="K6" s="134"/>
      <c r="L6" s="134"/>
    </row>
    <row r="7" spans="1:12" ht="14.25" customHeight="1" x14ac:dyDescent="0.3">
      <c r="A7" s="4" t="s">
        <v>117</v>
      </c>
      <c r="B7" s="22">
        <f>1/1.85*100</f>
        <v>54.054054054054049</v>
      </c>
      <c r="C7" s="4" t="s">
        <v>118</v>
      </c>
      <c r="D7" s="134" t="s">
        <v>265</v>
      </c>
      <c r="E7" s="134"/>
      <c r="F7" s="134"/>
      <c r="G7" s="134"/>
      <c r="H7" s="134"/>
      <c r="I7" s="134"/>
      <c r="J7" s="134"/>
      <c r="K7" s="134"/>
      <c r="L7" s="134"/>
    </row>
    <row r="8" spans="1:12" ht="14.25" customHeight="1" x14ac:dyDescent="0.3">
      <c r="A8" s="4" t="s">
        <v>266</v>
      </c>
      <c r="B8" s="70">
        <v>0.28000000000000003</v>
      </c>
      <c r="C8" s="4" t="s">
        <v>145</v>
      </c>
      <c r="D8" s="162" t="s">
        <v>267</v>
      </c>
      <c r="E8" s="153"/>
      <c r="F8" s="153"/>
      <c r="G8" s="153"/>
      <c r="H8" s="153"/>
      <c r="I8" s="153"/>
      <c r="J8" s="153"/>
      <c r="K8" s="153"/>
      <c r="L8" s="154"/>
    </row>
    <row r="9" spans="1:12" ht="14.25" customHeight="1" x14ac:dyDescent="0.3">
      <c r="A9" s="4" t="s">
        <v>268</v>
      </c>
      <c r="B9" s="70">
        <f>0.7*B8</f>
        <v>0.19600000000000001</v>
      </c>
      <c r="C9" s="4" t="s">
        <v>145</v>
      </c>
      <c r="D9" s="152" t="s">
        <v>269</v>
      </c>
      <c r="E9" s="153"/>
      <c r="F9" s="153"/>
      <c r="G9" s="153"/>
      <c r="H9" s="153"/>
      <c r="I9" s="153"/>
      <c r="J9" s="153"/>
      <c r="K9" s="153"/>
      <c r="L9" s="154"/>
    </row>
    <row r="10" spans="1:12" ht="14.25" customHeight="1" x14ac:dyDescent="0.3">
      <c r="A10" s="60" t="s">
        <v>119</v>
      </c>
      <c r="B10" s="10">
        <v>9</v>
      </c>
      <c r="C10" s="4" t="s">
        <v>83</v>
      </c>
      <c r="D10" s="134" t="s">
        <v>270</v>
      </c>
      <c r="E10" s="134"/>
      <c r="F10" s="134"/>
      <c r="G10" s="134"/>
      <c r="H10" s="134"/>
      <c r="I10" s="134"/>
      <c r="J10" s="134"/>
      <c r="K10" s="134"/>
      <c r="L10" s="134"/>
    </row>
    <row r="11" spans="1:12" ht="14.25" customHeight="1" x14ac:dyDescent="0.3">
      <c r="A11" s="60" t="s">
        <v>147</v>
      </c>
      <c r="B11" s="10">
        <v>16</v>
      </c>
      <c r="C11" s="4" t="s">
        <v>83</v>
      </c>
      <c r="D11" s="134" t="s">
        <v>342</v>
      </c>
      <c r="E11" s="134"/>
      <c r="F11" s="134"/>
      <c r="G11" s="134"/>
      <c r="H11" s="134"/>
      <c r="I11" s="134"/>
      <c r="J11" s="134"/>
      <c r="K11" s="134"/>
      <c r="L11" s="134"/>
    </row>
    <row r="12" spans="1:12" ht="14.25" customHeight="1" x14ac:dyDescent="0.3">
      <c r="A12" s="4" t="s">
        <v>149</v>
      </c>
      <c r="B12" s="10">
        <v>8</v>
      </c>
      <c r="C12" s="4" t="s">
        <v>83</v>
      </c>
      <c r="D12" s="134" t="s">
        <v>150</v>
      </c>
      <c r="E12" s="134"/>
      <c r="F12" s="134"/>
      <c r="G12" s="134"/>
      <c r="H12" s="134"/>
      <c r="I12" s="134"/>
      <c r="J12" s="134"/>
      <c r="K12" s="134"/>
      <c r="L12" s="134"/>
    </row>
    <row r="13" spans="1:12" x14ac:dyDescent="0.3">
      <c r="B13" s="2"/>
      <c r="D13" s="83"/>
      <c r="E13" s="83"/>
      <c r="F13" s="83"/>
      <c r="G13" s="83"/>
      <c r="H13" s="83"/>
    </row>
    <row r="14" spans="1:12" x14ac:dyDescent="0.3">
      <c r="A14" s="3" t="s">
        <v>151</v>
      </c>
      <c r="B14" s="2"/>
      <c r="D14" s="83"/>
      <c r="E14" s="83"/>
      <c r="F14" s="83"/>
      <c r="G14" s="83"/>
      <c r="H14" s="83"/>
    </row>
    <row r="15" spans="1:12" x14ac:dyDescent="0.3">
      <c r="A15" s="59" t="s">
        <v>2</v>
      </c>
      <c r="B15" s="44" t="s">
        <v>3</v>
      </c>
      <c r="C15" s="49" t="s">
        <v>80</v>
      </c>
      <c r="D15" s="151" t="s">
        <v>81</v>
      </c>
      <c r="E15" s="151"/>
      <c r="F15" s="151"/>
      <c r="G15" s="151"/>
      <c r="H15" s="151"/>
      <c r="I15" s="151"/>
      <c r="J15" s="151"/>
      <c r="K15" s="151"/>
      <c r="L15" s="151"/>
    </row>
    <row r="16" spans="1:12" x14ac:dyDescent="0.3">
      <c r="A16" s="58" t="s">
        <v>152</v>
      </c>
      <c r="B16" s="5">
        <f>0.9*170000</f>
        <v>153000</v>
      </c>
      <c r="C16" s="4" t="s">
        <v>153</v>
      </c>
      <c r="D16" s="134" t="s">
        <v>271</v>
      </c>
      <c r="E16" s="134"/>
      <c r="F16" s="134"/>
      <c r="G16" s="134"/>
      <c r="H16" s="134"/>
      <c r="I16" s="134"/>
      <c r="J16" s="134"/>
      <c r="K16" s="134"/>
      <c r="L16" s="134"/>
    </row>
    <row r="17" spans="1:12" ht="14.25" customHeight="1" x14ac:dyDescent="0.3">
      <c r="A17" s="58" t="s">
        <v>154</v>
      </c>
      <c r="B17" s="5">
        <f>270000+(C43-350)*B18</f>
        <v>286000</v>
      </c>
      <c r="C17" s="4" t="s">
        <v>153</v>
      </c>
      <c r="D17" s="134" t="s">
        <v>155</v>
      </c>
      <c r="E17" s="134"/>
      <c r="F17" s="134"/>
      <c r="G17" s="134"/>
      <c r="H17" s="134"/>
      <c r="I17" s="134"/>
      <c r="J17" s="134"/>
      <c r="K17" s="134"/>
      <c r="L17" s="134"/>
    </row>
    <row r="18" spans="1:12" ht="14.25" customHeight="1" x14ac:dyDescent="0.3">
      <c r="A18" s="58" t="s">
        <v>156</v>
      </c>
      <c r="B18" s="5">
        <v>200</v>
      </c>
      <c r="C18" s="4" t="s">
        <v>157</v>
      </c>
      <c r="D18" s="134" t="s">
        <v>158</v>
      </c>
      <c r="E18" s="134"/>
      <c r="F18" s="134"/>
      <c r="G18" s="134"/>
      <c r="H18" s="134"/>
      <c r="I18" s="134"/>
      <c r="J18" s="134"/>
      <c r="K18" s="134"/>
      <c r="L18" s="134"/>
    </row>
    <row r="19" spans="1:12" x14ac:dyDescent="0.3">
      <c r="A19" s="58" t="s">
        <v>159</v>
      </c>
      <c r="B19" s="5">
        <v>250000</v>
      </c>
      <c r="C19" s="4" t="s">
        <v>153</v>
      </c>
      <c r="D19" s="133" t="s">
        <v>160</v>
      </c>
      <c r="E19" s="133"/>
      <c r="F19" s="133"/>
      <c r="G19" s="133"/>
      <c r="H19" s="133"/>
      <c r="I19" s="133"/>
      <c r="J19" s="133"/>
      <c r="K19" s="133"/>
      <c r="L19" s="133"/>
    </row>
    <row r="20" spans="1:12" ht="14.25" customHeight="1" x14ac:dyDescent="0.3">
      <c r="A20" s="58" t="s">
        <v>161</v>
      </c>
      <c r="B20" s="5">
        <v>250</v>
      </c>
      <c r="C20" s="4" t="s">
        <v>157</v>
      </c>
      <c r="D20" s="134" t="s">
        <v>162</v>
      </c>
      <c r="E20" s="134"/>
      <c r="F20" s="134"/>
      <c r="G20" s="134"/>
      <c r="H20" s="134"/>
      <c r="I20" s="134"/>
      <c r="J20" s="134"/>
      <c r="K20" s="134"/>
      <c r="L20" s="134"/>
    </row>
    <row r="21" spans="1:12" ht="28.95" customHeight="1" x14ac:dyDescent="0.3">
      <c r="A21" s="58" t="s">
        <v>163</v>
      </c>
      <c r="B21" s="84">
        <v>0.5</v>
      </c>
      <c r="C21" s="58"/>
      <c r="D21" s="134" t="s">
        <v>164</v>
      </c>
      <c r="E21" s="134"/>
      <c r="F21" s="134"/>
      <c r="G21" s="134"/>
      <c r="H21" s="134"/>
      <c r="I21" s="134"/>
      <c r="J21" s="134"/>
      <c r="K21" s="134"/>
      <c r="L21" s="134"/>
    </row>
    <row r="22" spans="1:12" x14ac:dyDescent="0.3">
      <c r="A22" s="58" t="s">
        <v>165</v>
      </c>
      <c r="B22" s="45">
        <v>120</v>
      </c>
      <c r="C22" s="58" t="s">
        <v>166</v>
      </c>
      <c r="D22" s="134" t="s">
        <v>167</v>
      </c>
      <c r="E22" s="134"/>
      <c r="F22" s="134"/>
      <c r="G22" s="134"/>
      <c r="H22" s="134"/>
      <c r="I22" s="134"/>
      <c r="J22" s="134"/>
      <c r="K22" s="134"/>
      <c r="L22" s="134"/>
    </row>
    <row r="23" spans="1:12" x14ac:dyDescent="0.3">
      <c r="A23" s="58" t="s">
        <v>168</v>
      </c>
      <c r="B23" s="85">
        <f>5000/2</f>
        <v>2500</v>
      </c>
      <c r="C23" s="58" t="s">
        <v>169</v>
      </c>
      <c r="D23" s="134" t="s">
        <v>170</v>
      </c>
      <c r="E23" s="134"/>
      <c r="F23" s="134"/>
      <c r="G23" s="134"/>
      <c r="H23" s="134"/>
      <c r="I23" s="134"/>
      <c r="J23" s="134"/>
      <c r="K23" s="134"/>
      <c r="L23" s="134"/>
    </row>
    <row r="24" spans="1:12" ht="28.5" customHeight="1" x14ac:dyDescent="0.3">
      <c r="A24" s="58" t="s">
        <v>171</v>
      </c>
      <c r="B24" s="45">
        <f>(250+125)*20</f>
        <v>7500</v>
      </c>
      <c r="C24" s="58" t="s">
        <v>169</v>
      </c>
      <c r="D24" s="134" t="s">
        <v>172</v>
      </c>
      <c r="E24" s="134"/>
      <c r="F24" s="134"/>
      <c r="G24" s="134"/>
      <c r="H24" s="134"/>
      <c r="I24" s="134"/>
      <c r="J24" s="134"/>
      <c r="K24" s="134"/>
      <c r="L24" s="134"/>
    </row>
    <row r="25" spans="1:12" ht="27.45" customHeight="1" x14ac:dyDescent="0.3">
      <c r="A25" s="58" t="s">
        <v>173</v>
      </c>
      <c r="B25" s="45">
        <v>30000</v>
      </c>
      <c r="C25" s="58" t="s">
        <v>169</v>
      </c>
      <c r="D25" s="134" t="s">
        <v>174</v>
      </c>
      <c r="E25" s="134"/>
      <c r="F25" s="134"/>
      <c r="G25" s="134"/>
      <c r="H25" s="134"/>
      <c r="I25" s="134"/>
      <c r="J25" s="134"/>
      <c r="K25" s="134"/>
      <c r="L25" s="134"/>
    </row>
    <row r="26" spans="1:12" ht="28.8" x14ac:dyDescent="0.3">
      <c r="A26" s="60" t="s">
        <v>175</v>
      </c>
      <c r="B26" s="84">
        <v>0.7</v>
      </c>
      <c r="C26" s="58"/>
      <c r="D26" s="148" t="s">
        <v>176</v>
      </c>
      <c r="E26" s="148"/>
      <c r="F26" s="148"/>
      <c r="G26" s="148"/>
      <c r="H26" s="148"/>
      <c r="I26" s="148"/>
      <c r="J26" s="148"/>
      <c r="K26" s="148"/>
      <c r="L26" s="148"/>
    </row>
    <row r="27" spans="1:12" x14ac:dyDescent="0.3">
      <c r="A27" s="60" t="s">
        <v>179</v>
      </c>
      <c r="B27" s="85">
        <v>10</v>
      </c>
      <c r="C27" s="58" t="s">
        <v>83</v>
      </c>
      <c r="D27" s="148" t="s">
        <v>180</v>
      </c>
      <c r="E27" s="148"/>
      <c r="F27" s="148"/>
      <c r="G27" s="148"/>
      <c r="H27" s="148"/>
      <c r="I27" s="148"/>
      <c r="J27" s="148"/>
      <c r="K27" s="148"/>
      <c r="L27" s="148"/>
    </row>
    <row r="28" spans="1:12" x14ac:dyDescent="0.3">
      <c r="A28" s="60" t="s">
        <v>181</v>
      </c>
      <c r="B28" s="85">
        <v>20</v>
      </c>
      <c r="C28" s="58" t="s">
        <v>83</v>
      </c>
      <c r="D28" s="148" t="s">
        <v>180</v>
      </c>
      <c r="E28" s="148"/>
      <c r="F28" s="148"/>
      <c r="G28" s="148"/>
      <c r="H28" s="148"/>
      <c r="I28" s="148"/>
      <c r="J28" s="148"/>
      <c r="K28" s="148"/>
      <c r="L28" s="148"/>
    </row>
    <row r="29" spans="1:12" x14ac:dyDescent="0.3">
      <c r="A29" s="60" t="s">
        <v>182</v>
      </c>
      <c r="B29" s="85">
        <v>20</v>
      </c>
      <c r="C29" s="58" t="s">
        <v>83</v>
      </c>
      <c r="D29" s="148" t="s">
        <v>180</v>
      </c>
      <c r="E29" s="148"/>
      <c r="F29" s="148"/>
      <c r="G29" s="148"/>
      <c r="H29" s="148"/>
      <c r="I29" s="148"/>
      <c r="J29" s="148"/>
      <c r="K29" s="148"/>
      <c r="L29" s="148"/>
    </row>
    <row r="30" spans="1:12" x14ac:dyDescent="0.3">
      <c r="A30" s="60" t="s">
        <v>183</v>
      </c>
      <c r="B30" s="84">
        <v>0.02</v>
      </c>
      <c r="C30" s="58"/>
      <c r="D30" s="148" t="s">
        <v>184</v>
      </c>
      <c r="E30" s="148"/>
      <c r="F30" s="148"/>
      <c r="G30" s="148"/>
      <c r="H30" s="148"/>
      <c r="I30" s="148"/>
      <c r="J30" s="148"/>
      <c r="K30" s="148"/>
      <c r="L30" s="148"/>
    </row>
    <row r="31" spans="1:12" x14ac:dyDescent="0.3">
      <c r="A31" s="86"/>
      <c r="B31" s="87"/>
      <c r="C31" s="88"/>
      <c r="D31" s="149"/>
      <c r="E31" s="149"/>
      <c r="F31" s="149"/>
      <c r="G31" s="149"/>
      <c r="H31" s="149"/>
      <c r="I31" s="149"/>
      <c r="J31" s="149"/>
      <c r="K31" s="149"/>
      <c r="L31" s="149"/>
    </row>
    <row r="32" spans="1:12" x14ac:dyDescent="0.3">
      <c r="A32" s="86"/>
      <c r="B32" s="87"/>
      <c r="C32" s="88"/>
      <c r="D32" s="89"/>
      <c r="E32" s="89"/>
      <c r="F32" s="89"/>
      <c r="G32" s="89"/>
      <c r="H32" s="89"/>
      <c r="I32" s="89"/>
      <c r="J32" s="89"/>
      <c r="K32" s="89"/>
      <c r="L32" s="89"/>
    </row>
    <row r="33" spans="1:8" x14ac:dyDescent="0.3">
      <c r="D33" s="150"/>
      <c r="E33" s="150"/>
      <c r="F33" s="150"/>
      <c r="G33" s="150"/>
      <c r="H33" s="150"/>
    </row>
    <row r="34" spans="1:8" x14ac:dyDescent="0.3">
      <c r="A34" s="90" t="s">
        <v>185</v>
      </c>
    </row>
    <row r="36" spans="1:8" x14ac:dyDescent="0.3">
      <c r="A36" s="3" t="s">
        <v>186</v>
      </c>
    </row>
    <row r="37" spans="1:8" x14ac:dyDescent="0.3">
      <c r="A37" s="49" t="s">
        <v>2</v>
      </c>
      <c r="B37" s="7" t="s">
        <v>80</v>
      </c>
      <c r="C37" s="7" t="s">
        <v>3</v>
      </c>
    </row>
    <row r="38" spans="1:8" x14ac:dyDescent="0.3">
      <c r="A38" s="29" t="s">
        <v>187</v>
      </c>
      <c r="B38" s="10" t="s">
        <v>84</v>
      </c>
      <c r="C38" s="5">
        <f>B5</f>
        <v>225</v>
      </c>
    </row>
    <row r="39" spans="1:8" x14ac:dyDescent="0.3">
      <c r="A39" s="29" t="s">
        <v>188</v>
      </c>
      <c r="B39" s="10" t="s">
        <v>82</v>
      </c>
      <c r="C39" s="22">
        <f>C38*B6</f>
        <v>247.50000000000003</v>
      </c>
    </row>
    <row r="40" spans="1:8" x14ac:dyDescent="0.3">
      <c r="A40" s="29" t="s">
        <v>189</v>
      </c>
      <c r="B40" s="10"/>
      <c r="C40" s="17">
        <v>0.1</v>
      </c>
    </row>
    <row r="41" spans="1:8" x14ac:dyDescent="0.3">
      <c r="A41" s="29" t="s">
        <v>190</v>
      </c>
      <c r="B41" s="10"/>
      <c r="C41" s="17">
        <v>0.2</v>
      </c>
    </row>
    <row r="42" spans="1:8" x14ac:dyDescent="0.3">
      <c r="A42" s="29" t="s">
        <v>191</v>
      </c>
      <c r="B42" s="10"/>
      <c r="C42" s="17">
        <v>0.2</v>
      </c>
    </row>
    <row r="43" spans="1:8" x14ac:dyDescent="0.3">
      <c r="A43" s="91" t="s">
        <v>192</v>
      </c>
      <c r="B43" s="28" t="s">
        <v>82</v>
      </c>
      <c r="C43" s="19">
        <f>ROUND(((C39*(100%+C40))/(100%-C41))/(100%-C42),-1)</f>
        <v>430</v>
      </c>
    </row>
    <row r="45" spans="1:8" x14ac:dyDescent="0.3">
      <c r="A45" s="92" t="s">
        <v>193</v>
      </c>
    </row>
    <row r="46" spans="1:8" x14ac:dyDescent="0.3">
      <c r="A46" s="49" t="s">
        <v>2</v>
      </c>
      <c r="B46" s="7" t="s">
        <v>80</v>
      </c>
      <c r="C46" s="7" t="s">
        <v>3</v>
      </c>
    </row>
    <row r="47" spans="1:8" x14ac:dyDescent="0.3">
      <c r="A47" s="4" t="s">
        <v>194</v>
      </c>
      <c r="B47" s="61" t="s">
        <v>82</v>
      </c>
      <c r="C47" s="62">
        <f>C43</f>
        <v>430</v>
      </c>
    </row>
    <row r="48" spans="1:8" x14ac:dyDescent="0.3">
      <c r="A48" s="4" t="s">
        <v>195</v>
      </c>
      <c r="B48" s="61" t="s">
        <v>82</v>
      </c>
      <c r="C48" s="62">
        <f>C39</f>
        <v>247.50000000000003</v>
      </c>
    </row>
    <row r="49" spans="1:8" x14ac:dyDescent="0.3">
      <c r="A49" s="52" t="s">
        <v>196</v>
      </c>
      <c r="B49" s="61" t="s">
        <v>197</v>
      </c>
      <c r="C49" s="61">
        <v>6</v>
      </c>
    </row>
    <row r="50" spans="1:8" x14ac:dyDescent="0.3">
      <c r="A50" s="52" t="s">
        <v>198</v>
      </c>
      <c r="B50" s="61"/>
      <c r="C50" s="84">
        <v>0.9</v>
      </c>
    </row>
    <row r="51" spans="1:8" ht="28.8" x14ac:dyDescent="0.3">
      <c r="A51" s="52" t="s">
        <v>199</v>
      </c>
      <c r="B51" s="61" t="s">
        <v>200</v>
      </c>
      <c r="C51" s="45">
        <f>ROUND((C48/C50)/(C49-1),-1)</f>
        <v>60</v>
      </c>
    </row>
    <row r="52" spans="1:8" x14ac:dyDescent="0.3">
      <c r="E52" s="3" t="s">
        <v>374</v>
      </c>
    </row>
    <row r="53" spans="1:8" x14ac:dyDescent="0.3">
      <c r="A53" s="93" t="s">
        <v>201</v>
      </c>
      <c r="E53" s="6" t="s">
        <v>2</v>
      </c>
      <c r="F53" s="7" t="s">
        <v>72</v>
      </c>
      <c r="G53" s="7" t="s">
        <v>232</v>
      </c>
      <c r="H53" s="7" t="s">
        <v>233</v>
      </c>
    </row>
    <row r="54" spans="1:8" x14ac:dyDescent="0.3">
      <c r="E54" s="4" t="s">
        <v>234</v>
      </c>
      <c r="F54" s="5">
        <v>153000</v>
      </c>
      <c r="G54" s="5">
        <v>286000</v>
      </c>
      <c r="H54" s="5">
        <v>250000</v>
      </c>
    </row>
    <row r="55" spans="1:8" x14ac:dyDescent="0.3">
      <c r="A55" s="49" t="s">
        <v>2</v>
      </c>
      <c r="B55" s="7" t="s">
        <v>80</v>
      </c>
      <c r="C55" s="7" t="s">
        <v>3</v>
      </c>
      <c r="E55" s="4" t="s">
        <v>235</v>
      </c>
      <c r="F55" s="5">
        <v>0</v>
      </c>
      <c r="G55" s="5">
        <v>9700</v>
      </c>
      <c r="H55" s="5">
        <v>12112.5</v>
      </c>
    </row>
    <row r="56" spans="1:8" x14ac:dyDescent="0.3">
      <c r="A56" s="29" t="s">
        <v>202</v>
      </c>
      <c r="B56" s="10" t="s">
        <v>82</v>
      </c>
      <c r="C56" s="5">
        <v>250</v>
      </c>
      <c r="E56" s="4" t="s">
        <v>236</v>
      </c>
      <c r="F56" s="5">
        <v>0</v>
      </c>
      <c r="G56" s="5">
        <v>30000</v>
      </c>
      <c r="H56" s="5">
        <v>30000</v>
      </c>
    </row>
    <row r="57" spans="1:8" x14ac:dyDescent="0.3">
      <c r="A57" s="29" t="s">
        <v>203</v>
      </c>
      <c r="B57" s="10"/>
      <c r="C57" s="70">
        <v>0.65</v>
      </c>
      <c r="E57" s="4" t="s">
        <v>237</v>
      </c>
      <c r="F57" s="5">
        <v>0</v>
      </c>
      <c r="G57" s="5">
        <v>7500</v>
      </c>
      <c r="H57" s="5">
        <v>7500</v>
      </c>
    </row>
    <row r="58" spans="1:8" x14ac:dyDescent="0.3">
      <c r="A58" s="29" t="s">
        <v>204</v>
      </c>
      <c r="B58" s="10" t="s">
        <v>82</v>
      </c>
      <c r="C58" s="94">
        <f>C56*C57/2</f>
        <v>81.25</v>
      </c>
      <c r="E58" s="4" t="s">
        <v>238</v>
      </c>
      <c r="F58" s="5">
        <v>153000</v>
      </c>
      <c r="G58" s="5">
        <v>333200</v>
      </c>
      <c r="H58" s="5">
        <v>299612.5</v>
      </c>
    </row>
    <row r="59" spans="1:8" ht="28.8" x14ac:dyDescent="0.3">
      <c r="A59" s="50" t="s">
        <v>205</v>
      </c>
      <c r="B59" s="61" t="s">
        <v>82</v>
      </c>
      <c r="C59" s="85">
        <f>C48-C56*0.8</f>
        <v>47.500000000000028</v>
      </c>
      <c r="E59" s="4" t="s">
        <v>239</v>
      </c>
      <c r="F59" s="5">
        <v>0</v>
      </c>
      <c r="G59" s="5">
        <v>43000</v>
      </c>
      <c r="H59" s="5">
        <v>31250</v>
      </c>
    </row>
    <row r="60" spans="1:8" x14ac:dyDescent="0.3">
      <c r="A60" s="50" t="s">
        <v>206</v>
      </c>
      <c r="B60" s="61"/>
      <c r="C60" s="84">
        <f>C59/C48</f>
        <v>0.19191919191919202</v>
      </c>
      <c r="E60" s="4" t="s">
        <v>240</v>
      </c>
      <c r="F60" s="5">
        <v>59041.216216216206</v>
      </c>
      <c r="G60" s="5">
        <v>18880.537499999999</v>
      </c>
      <c r="H60" s="5">
        <v>18880.537499999999</v>
      </c>
    </row>
    <row r="61" spans="1:8" x14ac:dyDescent="0.3">
      <c r="A61" s="50" t="s">
        <v>207</v>
      </c>
      <c r="B61" s="61" t="s">
        <v>200</v>
      </c>
      <c r="C61" s="85">
        <v>300</v>
      </c>
      <c r="E61" s="4" t="s">
        <v>241</v>
      </c>
      <c r="F61" s="5">
        <v>21845.250000000004</v>
      </c>
      <c r="G61" s="5">
        <v>15291.675000000001</v>
      </c>
      <c r="H61" s="5">
        <v>15291.675000000001</v>
      </c>
    </row>
    <row r="62" spans="1:8" x14ac:dyDescent="0.3">
      <c r="A62" s="52" t="s">
        <v>208</v>
      </c>
      <c r="B62" s="61"/>
      <c r="C62" s="84">
        <v>0.9</v>
      </c>
      <c r="E62" s="4" t="s">
        <v>242</v>
      </c>
      <c r="F62" s="5">
        <v>0</v>
      </c>
      <c r="G62" s="5">
        <v>944</v>
      </c>
      <c r="H62" s="5">
        <v>992.25</v>
      </c>
    </row>
    <row r="63" spans="1:8" ht="28.8" x14ac:dyDescent="0.3">
      <c r="A63" s="50" t="s">
        <v>209</v>
      </c>
      <c r="B63" s="61" t="s">
        <v>210</v>
      </c>
      <c r="C63" s="85">
        <f>C59/(C61*C62/60)</f>
        <v>10.555555555555562</v>
      </c>
      <c r="E63" s="4" t="s">
        <v>243</v>
      </c>
      <c r="F63" s="5">
        <v>8698.6592769615745</v>
      </c>
      <c r="G63" s="5">
        <v>16260.238909875885</v>
      </c>
      <c r="H63" s="5">
        <v>14213.495550590809</v>
      </c>
    </row>
    <row r="64" spans="1:8" ht="28.8" x14ac:dyDescent="0.3">
      <c r="A64" s="82" t="s">
        <v>211</v>
      </c>
      <c r="B64" s="95" t="s">
        <v>212</v>
      </c>
      <c r="C64" s="85">
        <f>MIN(8,360/(C63*2))</f>
        <v>8</v>
      </c>
      <c r="E64" s="4" t="s">
        <v>244</v>
      </c>
      <c r="F64" s="5">
        <v>6431.8974962662796</v>
      </c>
      <c r="G64" s="5">
        <v>988.65359999999987</v>
      </c>
      <c r="H64" s="5">
        <v>988.65359999999987</v>
      </c>
    </row>
    <row r="65" spans="1:8" x14ac:dyDescent="0.3">
      <c r="A65" s="82" t="s">
        <v>213</v>
      </c>
      <c r="B65" s="95"/>
      <c r="C65" s="45">
        <f>ROUND(((C48-C59)/C50)/(C49-1),-1)</f>
        <v>40</v>
      </c>
      <c r="E65" s="4" t="s">
        <v>245</v>
      </c>
      <c r="F65" s="70">
        <v>1.3289827432618091</v>
      </c>
      <c r="G65" s="70">
        <v>1.057697805490853</v>
      </c>
      <c r="H65" s="70">
        <v>0.99299297469952186</v>
      </c>
    </row>
    <row r="66" spans="1:8" ht="30" customHeight="1" x14ac:dyDescent="0.3">
      <c r="A66" s="150" t="s">
        <v>214</v>
      </c>
      <c r="B66" s="150"/>
      <c r="C66" s="150"/>
      <c r="E66" s="4" t="s">
        <v>246</v>
      </c>
      <c r="F66" s="70">
        <v>1.4183355807144871</v>
      </c>
      <c r="G66" s="70">
        <v>1.0714323223218636</v>
      </c>
      <c r="H66" s="70">
        <v>1.0067274915305324</v>
      </c>
    </row>
    <row r="67" spans="1:8" x14ac:dyDescent="0.3">
      <c r="A67" s="89"/>
      <c r="B67" s="96"/>
      <c r="C67" s="97"/>
    </row>
    <row r="68" spans="1:8" x14ac:dyDescent="0.3">
      <c r="A68" s="6" t="s">
        <v>217</v>
      </c>
      <c r="B68" s="99"/>
    </row>
    <row r="69" spans="1:8" x14ac:dyDescent="0.3">
      <c r="A69" s="4" t="s">
        <v>215</v>
      </c>
      <c r="B69" s="5">
        <f>B4*B7/100*defaults!B8*defaults!B7*defaults!B6*(100%+defaults!B9)/10^6</f>
        <v>139.49591216266214</v>
      </c>
    </row>
    <row r="70" spans="1:8" x14ac:dyDescent="0.3">
      <c r="A70" s="4" t="s">
        <v>216</v>
      </c>
      <c r="B70" s="5">
        <f>B4*B6*'Grid Factors'!B9/1000</f>
        <v>30.809604374999999</v>
      </c>
    </row>
    <row r="71" spans="1:8" x14ac:dyDescent="0.3">
      <c r="A71" s="4" t="s">
        <v>218</v>
      </c>
      <c r="B71" s="5">
        <f>B69-B70</f>
        <v>108.68630778766214</v>
      </c>
    </row>
    <row r="72" spans="1:8" x14ac:dyDescent="0.3">
      <c r="B72" s="98"/>
    </row>
    <row r="73" spans="1:8" x14ac:dyDescent="0.3">
      <c r="A73" s="6" t="s">
        <v>230</v>
      </c>
      <c r="B73" s="99"/>
    </row>
    <row r="74" spans="1:8" x14ac:dyDescent="0.3">
      <c r="A74" s="4" t="s">
        <v>227</v>
      </c>
      <c r="B74" s="5">
        <f>B7/100*B4*defaults!B8*defaults!B6/1000</f>
        <v>1530.5170135135131</v>
      </c>
    </row>
    <row r="75" spans="1:8" x14ac:dyDescent="0.3">
      <c r="A75" s="4" t="s">
        <v>228</v>
      </c>
      <c r="B75" s="5">
        <f>B6*B4*defaults!B20/1000</f>
        <v>308.95425</v>
      </c>
    </row>
    <row r="76" spans="1:8" x14ac:dyDescent="0.3">
      <c r="A76" s="4" t="s">
        <v>229</v>
      </c>
      <c r="B76" s="5">
        <f>B74-B75</f>
        <v>1221.5627635135131</v>
      </c>
    </row>
  </sheetData>
  <mergeCells count="29">
    <mergeCell ref="D16:L16"/>
    <mergeCell ref="D3:L3"/>
    <mergeCell ref="D4:L4"/>
    <mergeCell ref="D5:L5"/>
    <mergeCell ref="D6:L6"/>
    <mergeCell ref="D7:L7"/>
    <mergeCell ref="D8:L8"/>
    <mergeCell ref="D9:L9"/>
    <mergeCell ref="D10:L10"/>
    <mergeCell ref="D11:L11"/>
    <mergeCell ref="D12:L12"/>
    <mergeCell ref="D15:L15"/>
    <mergeCell ref="D28:L28"/>
    <mergeCell ref="D17:L17"/>
    <mergeCell ref="D18:L18"/>
    <mergeCell ref="D19:L19"/>
    <mergeCell ref="D20:L20"/>
    <mergeCell ref="D21:L21"/>
    <mergeCell ref="D22:L22"/>
    <mergeCell ref="D23:L23"/>
    <mergeCell ref="D24:L24"/>
    <mergeCell ref="D25:L25"/>
    <mergeCell ref="D26:L26"/>
    <mergeCell ref="D27:L27"/>
    <mergeCell ref="D29:L29"/>
    <mergeCell ref="D30:L30"/>
    <mergeCell ref="D31:L31"/>
    <mergeCell ref="D33:H33"/>
    <mergeCell ref="A66:C66"/>
  </mergeCells>
  <hyperlinks>
    <hyperlink ref="D8" r:id="rId1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9"/>
  <sheetViews>
    <sheetView topLeftCell="A10" zoomScale="70" zoomScaleNormal="70" workbookViewId="0">
      <selection activeCell="G30" sqref="G30:H34"/>
    </sheetView>
  </sheetViews>
  <sheetFormatPr baseColWidth="10" defaultColWidth="9.109375" defaultRowHeight="14.4" x14ac:dyDescent="0.3"/>
  <cols>
    <col min="1" max="1" width="33.5546875" customWidth="1"/>
    <col min="2" max="2" width="16" style="2" customWidth="1"/>
    <col min="3" max="3" width="15.21875" style="2" customWidth="1"/>
    <col min="4" max="4" width="17.77734375" style="2" customWidth="1"/>
    <col min="5" max="5" width="10.77734375" style="2" bestFit="1" customWidth="1"/>
    <col min="6" max="6" width="14.5546875" style="2" customWidth="1"/>
    <col min="7" max="7" width="13.21875" customWidth="1"/>
    <col min="8" max="8" width="19.77734375" customWidth="1"/>
    <col min="12" max="12" width="11.77734375" customWidth="1"/>
  </cols>
  <sheetData>
    <row r="1" spans="1:13" ht="21" x14ac:dyDescent="0.4">
      <c r="A1" s="1" t="s">
        <v>74</v>
      </c>
    </row>
    <row r="2" spans="1:13" ht="21" x14ac:dyDescent="0.4">
      <c r="A2" s="1"/>
      <c r="G2" s="156" t="s">
        <v>127</v>
      </c>
      <c r="H2" s="156"/>
      <c r="I2" s="156"/>
      <c r="J2" s="156"/>
      <c r="K2" s="156"/>
      <c r="L2" s="156"/>
      <c r="M2" s="156"/>
    </row>
    <row r="3" spans="1:13" x14ac:dyDescent="0.3">
      <c r="A3" s="11" t="s">
        <v>1</v>
      </c>
      <c r="G3" s="3" t="s">
        <v>25</v>
      </c>
      <c r="H3" s="2"/>
      <c r="L3" s="3" t="s">
        <v>22</v>
      </c>
      <c r="M3" s="2"/>
    </row>
    <row r="4" spans="1:13" x14ac:dyDescent="0.3">
      <c r="A4" s="3"/>
      <c r="G4" s="6" t="s">
        <v>23</v>
      </c>
      <c r="H4" s="7" t="s">
        <v>24</v>
      </c>
      <c r="L4" s="6" t="s">
        <v>23</v>
      </c>
      <c r="M4" s="7" t="s">
        <v>24</v>
      </c>
    </row>
    <row r="5" spans="1:13" x14ac:dyDescent="0.3">
      <c r="A5" s="6" t="s">
        <v>2</v>
      </c>
      <c r="B5" s="7" t="s">
        <v>3</v>
      </c>
      <c r="C5" s="25"/>
      <c r="G5" s="4" t="s">
        <v>14</v>
      </c>
      <c r="H5" s="17">
        <v>0.5</v>
      </c>
      <c r="L5" s="4" t="s">
        <v>14</v>
      </c>
      <c r="M5" s="17">
        <v>0</v>
      </c>
    </row>
    <row r="6" spans="1:13" x14ac:dyDescent="0.3">
      <c r="A6" s="4" t="s">
        <v>5</v>
      </c>
      <c r="B6" s="5">
        <f>ROUND(('Bus Peru'!H63+'Bus Peru'!I63)/2,-3)</f>
        <v>383000</v>
      </c>
      <c r="C6" s="8"/>
      <c r="H6" s="9"/>
      <c r="I6" s="25"/>
      <c r="J6" s="126"/>
      <c r="K6" s="126"/>
    </row>
    <row r="7" spans="1:13" ht="15" thickBot="1" x14ac:dyDescent="0.35">
      <c r="A7" s="4" t="s">
        <v>4</v>
      </c>
      <c r="B7" s="5">
        <f>B11*'Bus Peru'!B76</f>
        <v>1269.7716843013477</v>
      </c>
      <c r="C7" s="8"/>
      <c r="H7" s="9"/>
      <c r="I7" s="8"/>
      <c r="J7" s="8"/>
      <c r="K7" s="8"/>
      <c r="L7" s="8"/>
      <c r="M7" s="8"/>
    </row>
    <row r="8" spans="1:13" ht="15" thickBot="1" x14ac:dyDescent="0.35">
      <c r="A8" s="4" t="s">
        <v>18</v>
      </c>
      <c r="B8" s="15">
        <f>'Bus Peru'!B4*defaults!D24*Peru!B11/10^6</f>
        <v>4.2134400000000002E-2</v>
      </c>
      <c r="C8" s="8"/>
      <c r="D8"/>
      <c r="E8" s="35"/>
      <c r="G8" s="155" t="s">
        <v>14</v>
      </c>
      <c r="H8" s="65" t="s">
        <v>124</v>
      </c>
      <c r="I8" s="63">
        <f>100%-I12-M5</f>
        <v>0.95</v>
      </c>
      <c r="J8" s="35"/>
      <c r="K8" s="35"/>
    </row>
    <row r="9" spans="1:13" ht="15" thickBot="1" x14ac:dyDescent="0.35">
      <c r="A9" s="4" t="s">
        <v>19</v>
      </c>
      <c r="B9" s="15">
        <f>B11*'Bus Peru'!B4*defaults!C24/10^6</f>
        <v>4.9430399999999999</v>
      </c>
      <c r="C9" s="8"/>
      <c r="D9" s="157" t="s">
        <v>31</v>
      </c>
      <c r="E9" s="158">
        <v>0.5</v>
      </c>
      <c r="G9" s="155"/>
      <c r="I9" s="9"/>
      <c r="J9" s="9"/>
      <c r="K9" s="9"/>
    </row>
    <row r="10" spans="1:13" ht="15" thickBot="1" x14ac:dyDescent="0.35">
      <c r="A10" s="4" t="s">
        <v>20</v>
      </c>
      <c r="B10" s="5">
        <f>B11*'Bus Peru'!B81/1000</f>
        <v>13.093855994880004</v>
      </c>
      <c r="C10" s="8"/>
      <c r="D10" s="157"/>
      <c r="E10" s="158"/>
      <c r="G10" s="155"/>
      <c r="H10" s="66" t="s">
        <v>122</v>
      </c>
      <c r="I10" s="64">
        <f>I8-H5</f>
        <v>0.44999999999999996</v>
      </c>
      <c r="J10" s="165"/>
      <c r="K10" s="165"/>
    </row>
    <row r="11" spans="1:13" ht="15" thickBot="1" x14ac:dyDescent="0.35">
      <c r="A11" s="4" t="s">
        <v>79</v>
      </c>
      <c r="B11" s="5">
        <f>'Bus Peru'!B15</f>
        <v>16</v>
      </c>
      <c r="C11" s="8"/>
      <c r="D11" s="157"/>
      <c r="E11" s="158"/>
      <c r="G11" s="155"/>
      <c r="H11" s="2"/>
      <c r="I11" s="2"/>
      <c r="J11" s="125"/>
      <c r="K11" s="125"/>
    </row>
    <row r="12" spans="1:13" ht="15" thickBot="1" x14ac:dyDescent="0.35">
      <c r="A12" s="37" t="s">
        <v>6</v>
      </c>
      <c r="B12" s="8"/>
      <c r="C12" s="8"/>
      <c r="G12" s="155"/>
      <c r="H12" s="67" t="s">
        <v>125</v>
      </c>
      <c r="I12" s="64">
        <v>0.05</v>
      </c>
      <c r="J12" s="165"/>
      <c r="K12" s="165"/>
    </row>
    <row r="13" spans="1:13" x14ac:dyDescent="0.3">
      <c r="A13" s="12" t="s">
        <v>75</v>
      </c>
      <c r="B13" s="8"/>
      <c r="C13" s="8"/>
      <c r="D13" s="8"/>
    </row>
    <row r="14" spans="1:13" x14ac:dyDescent="0.3">
      <c r="B14" s="8"/>
      <c r="C14" s="8"/>
      <c r="D14" s="8"/>
    </row>
    <row r="15" spans="1:13" x14ac:dyDescent="0.3">
      <c r="B15" s="8"/>
      <c r="C15" s="8"/>
      <c r="D15" s="8"/>
    </row>
    <row r="16" spans="1:13" x14ac:dyDescent="0.3">
      <c r="A16" s="11" t="s">
        <v>10</v>
      </c>
      <c r="B16" s="8"/>
      <c r="C16" s="8"/>
      <c r="D16" s="8"/>
    </row>
    <row r="17" spans="1:23" x14ac:dyDescent="0.3">
      <c r="A17" s="138" t="s">
        <v>7</v>
      </c>
      <c r="B17" s="145" t="s">
        <v>14</v>
      </c>
      <c r="C17" s="145"/>
      <c r="D17" s="147" t="s">
        <v>21</v>
      </c>
      <c r="E17" s="139" t="s">
        <v>9</v>
      </c>
      <c r="F17" s="139"/>
      <c r="G17" s="139"/>
      <c r="H17" s="139"/>
      <c r="I17" s="139"/>
      <c r="J17" s="139"/>
      <c r="K17" s="139"/>
      <c r="L17" s="139"/>
      <c r="M17" s="139" t="s">
        <v>8</v>
      </c>
      <c r="N17" s="139"/>
      <c r="O17" s="139"/>
      <c r="P17" s="139"/>
      <c r="Q17" s="139"/>
      <c r="R17" s="139"/>
      <c r="S17" s="139"/>
      <c r="T17" s="139"/>
      <c r="U17" s="146" t="s">
        <v>11</v>
      </c>
      <c r="V17" s="146" t="s">
        <v>12</v>
      </c>
      <c r="W17" s="146" t="s">
        <v>13</v>
      </c>
    </row>
    <row r="18" spans="1:23" x14ac:dyDescent="0.3">
      <c r="A18" s="138"/>
      <c r="B18" s="16" t="s">
        <v>15</v>
      </c>
      <c r="C18" s="16" t="s">
        <v>16</v>
      </c>
      <c r="D18" s="147"/>
      <c r="E18" s="7" t="s">
        <v>363</v>
      </c>
      <c r="F18" s="7" t="s">
        <v>364</v>
      </c>
      <c r="G18" s="7" t="s">
        <v>365</v>
      </c>
      <c r="H18" s="7" t="s">
        <v>366</v>
      </c>
      <c r="I18" s="7" t="s">
        <v>367</v>
      </c>
      <c r="J18" s="127" t="s">
        <v>375</v>
      </c>
      <c r="K18" s="127" t="s">
        <v>376</v>
      </c>
      <c r="L18" s="7" t="s">
        <v>17</v>
      </c>
      <c r="M18" s="7" t="s">
        <v>363</v>
      </c>
      <c r="N18" s="7" t="s">
        <v>364</v>
      </c>
      <c r="O18" s="7" t="s">
        <v>365</v>
      </c>
      <c r="P18" s="7" t="s">
        <v>366</v>
      </c>
      <c r="Q18" s="7" t="s">
        <v>367</v>
      </c>
      <c r="R18" s="127" t="s">
        <v>375</v>
      </c>
      <c r="S18" s="127" t="s">
        <v>376</v>
      </c>
      <c r="T18" s="7" t="s">
        <v>17</v>
      </c>
      <c r="U18" s="146"/>
      <c r="V18" s="146"/>
      <c r="W18" s="146"/>
    </row>
    <row r="19" spans="1:23" x14ac:dyDescent="0.3">
      <c r="A19" s="4" t="s">
        <v>76</v>
      </c>
      <c r="B19" s="10">
        <v>76</v>
      </c>
      <c r="C19" s="10">
        <v>0</v>
      </c>
      <c r="D19" s="17">
        <v>1</v>
      </c>
      <c r="F19" s="22">
        <f>(B19*$B$6)/10^6*D19</f>
        <v>29.108000000000001</v>
      </c>
      <c r="G19" s="10">
        <v>0</v>
      </c>
      <c r="H19" s="10">
        <v>0</v>
      </c>
      <c r="I19" s="10">
        <v>0</v>
      </c>
      <c r="J19" s="10"/>
      <c r="K19" s="10"/>
      <c r="L19" s="22">
        <f>SUM(F19:I19)</f>
        <v>29.108000000000001</v>
      </c>
      <c r="N19" s="5">
        <f>B19*$B$7</f>
        <v>96502.648006902426</v>
      </c>
      <c r="O19" s="4"/>
      <c r="P19" s="4"/>
      <c r="Q19" s="4"/>
      <c r="R19" s="4"/>
      <c r="S19" s="4"/>
      <c r="T19" s="5">
        <f>SUM(N19:Q19)</f>
        <v>96502.648006902426</v>
      </c>
      <c r="U19" s="22">
        <f>(B19)*$B$8</f>
        <v>3.2022144000000003</v>
      </c>
      <c r="V19" s="5">
        <f>(B19)*$B$9</f>
        <v>375.67104</v>
      </c>
      <c r="W19" s="5">
        <f>(B19)*$B$10</f>
        <v>995.13305561088032</v>
      </c>
    </row>
    <row r="20" spans="1:23" x14ac:dyDescent="0.3">
      <c r="A20" s="18" t="s">
        <v>17</v>
      </c>
      <c r="B20" s="19">
        <f>SUM(B19:B19)</f>
        <v>76</v>
      </c>
      <c r="C20" s="19">
        <f>SUM(C19:C19)</f>
        <v>0</v>
      </c>
      <c r="D20" s="19"/>
      <c r="E20" s="19">
        <f>E19</f>
        <v>0</v>
      </c>
      <c r="F20" s="19">
        <f>F19</f>
        <v>29.108000000000001</v>
      </c>
      <c r="G20" s="19">
        <f>SUM(G19:G19)</f>
        <v>0</v>
      </c>
      <c r="H20" s="19">
        <f>SUM(H19:H19)</f>
        <v>0</v>
      </c>
      <c r="I20" s="19">
        <f>SUM(I19:I19)</f>
        <v>0</v>
      </c>
      <c r="J20" s="19"/>
      <c r="K20" s="19"/>
      <c r="L20" s="20">
        <f>SUM(E20:I20)</f>
        <v>29.108000000000001</v>
      </c>
      <c r="M20" s="19">
        <f>M19</f>
        <v>0</v>
      </c>
      <c r="N20" s="19">
        <f>N19</f>
        <v>96502.648006902426</v>
      </c>
      <c r="O20" s="19">
        <f>SUM(O19:O19)</f>
        <v>0</v>
      </c>
      <c r="P20" s="19">
        <f>SUM(P19:P19)</f>
        <v>0</v>
      </c>
      <c r="Q20" s="19">
        <f>SUM(Q19:Q19)</f>
        <v>0</v>
      </c>
      <c r="R20" s="19"/>
      <c r="S20" s="19"/>
      <c r="T20" s="19">
        <f>SUM(M20:Q20)</f>
        <v>96502.648006902426</v>
      </c>
      <c r="U20" s="20">
        <f>SUM(U19:U19)</f>
        <v>3.2022144000000003</v>
      </c>
      <c r="V20" s="19">
        <f>SUM(V19:V19)</f>
        <v>375.67104</v>
      </c>
      <c r="W20" s="19">
        <f>SUM(W19:W19)</f>
        <v>995.13305561088032</v>
      </c>
    </row>
    <row r="21" spans="1:23" x14ac:dyDescent="0.3">
      <c r="A21" s="3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3"/>
      <c r="M21" s="24"/>
      <c r="N21" s="24"/>
      <c r="O21" s="24"/>
      <c r="P21" s="24"/>
      <c r="Q21" s="24"/>
      <c r="R21" s="24"/>
      <c r="S21" s="24"/>
      <c r="T21" s="24"/>
      <c r="U21" s="23"/>
      <c r="V21" s="24"/>
      <c r="W21" s="24"/>
    </row>
    <row r="22" spans="1:23" x14ac:dyDescent="0.3">
      <c r="A22" s="3"/>
      <c r="B22" s="25"/>
      <c r="C22" s="25"/>
      <c r="D22" s="25"/>
      <c r="E22" s="25"/>
      <c r="F22" s="25"/>
      <c r="G22" s="38"/>
    </row>
    <row r="23" spans="1:23" x14ac:dyDescent="0.3">
      <c r="A23" s="138" t="s">
        <v>58</v>
      </c>
      <c r="B23" s="139" t="s">
        <v>66</v>
      </c>
      <c r="C23" s="139"/>
      <c r="D23" s="139"/>
      <c r="E23" s="139"/>
      <c r="F23" s="140" t="s">
        <v>59</v>
      </c>
      <c r="G23" s="141"/>
      <c r="H23" s="141"/>
      <c r="I23" s="142"/>
      <c r="J23" s="166"/>
      <c r="K23" s="166"/>
    </row>
    <row r="24" spans="1:23" ht="28.8" x14ac:dyDescent="0.3">
      <c r="A24" s="138"/>
      <c r="B24" s="16" t="s">
        <v>56</v>
      </c>
      <c r="C24" s="16" t="s">
        <v>57</v>
      </c>
      <c r="D24" s="44" t="s">
        <v>55</v>
      </c>
      <c r="E24" s="16" t="s">
        <v>57</v>
      </c>
      <c r="F24" s="40" t="s">
        <v>60</v>
      </c>
      <c r="G24" s="16" t="s">
        <v>61</v>
      </c>
      <c r="H24" s="16" t="s">
        <v>62</v>
      </c>
      <c r="I24" s="16" t="s">
        <v>54</v>
      </c>
      <c r="J24" s="167"/>
      <c r="K24" s="167"/>
    </row>
    <row r="25" spans="1:23" x14ac:dyDescent="0.3">
      <c r="A25" s="4" t="s">
        <v>63</v>
      </c>
      <c r="B25" s="10">
        <v>0</v>
      </c>
      <c r="C25" s="10"/>
      <c r="D25" s="5" t="e">
        <f>#REF!</f>
        <v>#REF!</v>
      </c>
      <c r="E25" s="10"/>
      <c r="F25" s="41">
        <v>0</v>
      </c>
      <c r="G25" s="45">
        <f>L20*H5</f>
        <v>14.554</v>
      </c>
      <c r="H25" s="42">
        <v>0</v>
      </c>
      <c r="I25" s="5">
        <f>SUM(F25:H25)</f>
        <v>14.554</v>
      </c>
      <c r="J25" s="168"/>
      <c r="K25" s="168"/>
    </row>
    <row r="26" spans="1:23" x14ac:dyDescent="0.3">
      <c r="A26" s="4" t="s">
        <v>64</v>
      </c>
      <c r="B26" s="10">
        <v>0</v>
      </c>
      <c r="C26" s="10"/>
      <c r="D26" s="5" t="e">
        <f>#REF!</f>
        <v>#REF!</v>
      </c>
      <c r="E26" s="10"/>
      <c r="F26" s="41">
        <v>0</v>
      </c>
      <c r="G26" s="45">
        <f>L20*M5</f>
        <v>0</v>
      </c>
      <c r="H26" s="42">
        <v>0</v>
      </c>
      <c r="I26" s="5">
        <f>SUM(F26:H26)</f>
        <v>0</v>
      </c>
      <c r="J26" s="168"/>
      <c r="K26" s="168"/>
    </row>
    <row r="27" spans="1:23" x14ac:dyDescent="0.3">
      <c r="A27" s="4" t="s">
        <v>65</v>
      </c>
      <c r="B27" s="10">
        <v>0</v>
      </c>
      <c r="C27" s="34" t="e">
        <f>B27/(D27+B27)</f>
        <v>#REF!</v>
      </c>
      <c r="D27" s="5" t="e">
        <f>SUM(D25:D26)</f>
        <v>#REF!</v>
      </c>
      <c r="E27" s="34" t="e">
        <f>D27/(D27+B27)</f>
        <v>#REF!</v>
      </c>
      <c r="F27" s="41">
        <f>SUM(F25:F26)</f>
        <v>0</v>
      </c>
      <c r="G27" s="45">
        <f>SUM(G25:G26)</f>
        <v>14.554</v>
      </c>
      <c r="H27" s="42">
        <f>SUM(H25:H26)</f>
        <v>0</v>
      </c>
      <c r="I27" s="5">
        <f>SUM(F27:H27)</f>
        <v>14.554</v>
      </c>
      <c r="J27" s="168"/>
      <c r="K27" s="168"/>
    </row>
    <row r="28" spans="1:23" x14ac:dyDescent="0.3">
      <c r="A28" s="3"/>
      <c r="B28" s="25"/>
      <c r="C28" s="25"/>
      <c r="D28" s="25"/>
      <c r="E28" s="25"/>
      <c r="F28" s="25"/>
      <c r="G28" s="38"/>
    </row>
    <row r="29" spans="1:23" x14ac:dyDescent="0.3">
      <c r="B29"/>
      <c r="C29"/>
      <c r="G29" s="2"/>
    </row>
    <row r="30" spans="1:23" ht="43.2" x14ac:dyDescent="0.3">
      <c r="A30" s="6" t="s">
        <v>343</v>
      </c>
      <c r="B30" s="7">
        <v>1</v>
      </c>
      <c r="C30" s="7">
        <v>2</v>
      </c>
      <c r="D30" s="7">
        <v>3</v>
      </c>
      <c r="E30" s="7">
        <v>4</v>
      </c>
      <c r="F30" s="7">
        <v>5</v>
      </c>
      <c r="G30" s="127">
        <v>6</v>
      </c>
      <c r="H30" s="127">
        <v>7</v>
      </c>
      <c r="I30" s="47" t="s">
        <v>339</v>
      </c>
    </row>
    <row r="31" spans="1:23" x14ac:dyDescent="0.3">
      <c r="A31" s="4" t="s">
        <v>332</v>
      </c>
      <c r="B31" s="10">
        <v>0</v>
      </c>
      <c r="C31" s="5">
        <f>N19/B11</f>
        <v>6031.4155004314016</v>
      </c>
      <c r="D31" s="5">
        <f>C31</f>
        <v>6031.4155004314016</v>
      </c>
      <c r="E31" s="5">
        <f t="shared" ref="E31:F31" si="0">D31</f>
        <v>6031.4155004314016</v>
      </c>
      <c r="F31" s="5">
        <f t="shared" si="0"/>
        <v>6031.4155004314016</v>
      </c>
      <c r="G31" s="5">
        <f t="shared" ref="G31:G34" si="1">F31</f>
        <v>6031.4155004314016</v>
      </c>
      <c r="H31" s="5">
        <f t="shared" ref="H31:H34" si="2">G31</f>
        <v>6031.4155004314016</v>
      </c>
      <c r="I31" s="5">
        <f>N19</f>
        <v>96502.648006902426</v>
      </c>
    </row>
    <row r="32" spans="1:23" x14ac:dyDescent="0.3">
      <c r="A32" s="4" t="s">
        <v>333</v>
      </c>
      <c r="B32" s="10">
        <v>0</v>
      </c>
      <c r="C32" s="122">
        <f>U19/B11</f>
        <v>0.20013840000000002</v>
      </c>
      <c r="D32" s="122">
        <f t="shared" ref="D32:F34" si="3">C32</f>
        <v>0.20013840000000002</v>
      </c>
      <c r="E32" s="122">
        <f t="shared" si="3"/>
        <v>0.20013840000000002</v>
      </c>
      <c r="F32" s="122">
        <f t="shared" si="3"/>
        <v>0.20013840000000002</v>
      </c>
      <c r="G32" s="122">
        <f t="shared" si="1"/>
        <v>0.20013840000000002</v>
      </c>
      <c r="H32" s="122">
        <f t="shared" si="2"/>
        <v>0.20013840000000002</v>
      </c>
      <c r="I32" s="22">
        <f>U19</f>
        <v>3.2022144000000003</v>
      </c>
    </row>
    <row r="33" spans="1:28" x14ac:dyDescent="0.3">
      <c r="A33" s="4" t="s">
        <v>334</v>
      </c>
      <c r="B33" s="10">
        <v>0</v>
      </c>
      <c r="C33" s="22">
        <f>V19/B11</f>
        <v>23.47944</v>
      </c>
      <c r="D33" s="5">
        <f t="shared" si="3"/>
        <v>23.47944</v>
      </c>
      <c r="E33" s="5">
        <f t="shared" si="3"/>
        <v>23.47944</v>
      </c>
      <c r="F33" s="5">
        <f t="shared" si="3"/>
        <v>23.47944</v>
      </c>
      <c r="G33" s="5">
        <f t="shared" si="1"/>
        <v>23.47944</v>
      </c>
      <c r="H33" s="5">
        <f t="shared" si="2"/>
        <v>23.47944</v>
      </c>
      <c r="I33" s="5">
        <f>V19</f>
        <v>375.67104</v>
      </c>
    </row>
    <row r="34" spans="1:28" x14ac:dyDescent="0.3">
      <c r="A34" s="4" t="s">
        <v>335</v>
      </c>
      <c r="B34" s="10">
        <v>0</v>
      </c>
      <c r="C34" s="5">
        <f>W19/B11</f>
        <v>62.19581597568002</v>
      </c>
      <c r="D34" s="5">
        <f t="shared" si="3"/>
        <v>62.19581597568002</v>
      </c>
      <c r="E34" s="5">
        <f t="shared" si="3"/>
        <v>62.19581597568002</v>
      </c>
      <c r="F34" s="5">
        <f t="shared" si="3"/>
        <v>62.19581597568002</v>
      </c>
      <c r="G34" s="5">
        <f t="shared" si="1"/>
        <v>62.19581597568002</v>
      </c>
      <c r="H34" s="5">
        <f t="shared" si="2"/>
        <v>62.19581597568002</v>
      </c>
      <c r="I34" s="5">
        <f>W19</f>
        <v>995.13305561088032</v>
      </c>
    </row>
    <row r="35" spans="1:28" x14ac:dyDescent="0.3">
      <c r="B35"/>
      <c r="C35"/>
      <c r="G35" s="2"/>
    </row>
    <row r="37" spans="1:28" ht="30.75" customHeight="1" x14ac:dyDescent="0.3">
      <c r="A37" s="3" t="s">
        <v>360</v>
      </c>
      <c r="B37"/>
      <c r="C37"/>
      <c r="G37" s="2"/>
      <c r="H37" s="2"/>
      <c r="I37" s="2"/>
      <c r="J37" s="125"/>
      <c r="K37" s="125"/>
    </row>
    <row r="38" spans="1:28" x14ac:dyDescent="0.3">
      <c r="A38" s="7">
        <v>1</v>
      </c>
      <c r="B38" s="7">
        <v>2</v>
      </c>
      <c r="C38" s="7">
        <v>3</v>
      </c>
      <c r="D38" s="7">
        <v>4</v>
      </c>
      <c r="E38" s="7">
        <v>5</v>
      </c>
      <c r="F38" s="7">
        <v>6</v>
      </c>
      <c r="G38" s="7">
        <v>7</v>
      </c>
      <c r="H38" s="7">
        <v>8</v>
      </c>
      <c r="I38" s="7">
        <v>9</v>
      </c>
      <c r="J38" s="7">
        <v>10</v>
      </c>
      <c r="K38" s="7">
        <v>11</v>
      </c>
      <c r="L38" s="7">
        <v>12</v>
      </c>
      <c r="M38" s="7">
        <v>13</v>
      </c>
      <c r="N38" s="7">
        <v>14</v>
      </c>
      <c r="O38" s="7">
        <v>15</v>
      </c>
      <c r="P38" s="7">
        <v>16</v>
      </c>
      <c r="Q38" s="7">
        <v>17</v>
      </c>
      <c r="R38" s="7">
        <v>18</v>
      </c>
      <c r="S38" s="7">
        <v>19</v>
      </c>
      <c r="T38" s="7">
        <v>20</v>
      </c>
      <c r="U38" s="7">
        <v>21</v>
      </c>
      <c r="V38" s="7">
        <v>22</v>
      </c>
      <c r="W38" s="7">
        <v>23</v>
      </c>
      <c r="X38" s="7">
        <v>24</v>
      </c>
      <c r="Y38" s="7">
        <v>25</v>
      </c>
      <c r="Z38" s="7">
        <v>26</v>
      </c>
      <c r="AA38" s="7">
        <v>27</v>
      </c>
      <c r="AB38" s="6" t="s">
        <v>54</v>
      </c>
    </row>
    <row r="39" spans="1:28" x14ac:dyDescent="0.3">
      <c r="A39" s="10">
        <f>B29</f>
        <v>0</v>
      </c>
      <c r="B39" s="5">
        <f>C31</f>
        <v>6031.4155004314016</v>
      </c>
      <c r="C39" s="5">
        <f>B39</f>
        <v>6031.4155004314016</v>
      </c>
      <c r="D39" s="5">
        <f>C39</f>
        <v>6031.4155004314016</v>
      </c>
      <c r="E39" s="5">
        <f t="shared" ref="E39:AD39" si="4">D39</f>
        <v>6031.4155004314016</v>
      </c>
      <c r="F39" s="5">
        <f t="shared" si="4"/>
        <v>6031.4155004314016</v>
      </c>
      <c r="G39" s="5">
        <f t="shared" si="4"/>
        <v>6031.4155004314016</v>
      </c>
      <c r="H39" s="5">
        <f t="shared" si="4"/>
        <v>6031.4155004314016</v>
      </c>
      <c r="I39" s="5">
        <f t="shared" si="4"/>
        <v>6031.4155004314016</v>
      </c>
      <c r="J39" s="5">
        <f>I39</f>
        <v>6031.4155004314016</v>
      </c>
      <c r="K39" s="5">
        <f>J39</f>
        <v>6031.4155004314016</v>
      </c>
      <c r="L39" s="5">
        <f>K39</f>
        <v>6031.4155004314016</v>
      </c>
      <c r="M39" s="5">
        <f>L39</f>
        <v>6031.4155004314016</v>
      </c>
      <c r="N39" s="5">
        <f>M39</f>
        <v>6031.4155004314016</v>
      </c>
      <c r="O39" s="5">
        <f>N39</f>
        <v>6031.4155004314016</v>
      </c>
      <c r="P39" s="5">
        <f>O39</f>
        <v>6031.4155004314016</v>
      </c>
      <c r="Q39" s="5">
        <f>P39</f>
        <v>6031.4155004314016</v>
      </c>
      <c r="R39" s="5">
        <v>0</v>
      </c>
      <c r="S39" s="5">
        <v>0</v>
      </c>
      <c r="T39" s="5">
        <f>S39</f>
        <v>0</v>
      </c>
      <c r="U39" s="5">
        <f>T39</f>
        <v>0</v>
      </c>
      <c r="V39" s="5">
        <f>U39</f>
        <v>0</v>
      </c>
      <c r="W39" s="5">
        <f>V39</f>
        <v>0</v>
      </c>
      <c r="X39" s="5">
        <f>W39</f>
        <v>0</v>
      </c>
      <c r="Y39" s="5">
        <f>X39</f>
        <v>0</v>
      </c>
      <c r="Z39" s="5">
        <f>Y39</f>
        <v>0</v>
      </c>
      <c r="AA39" s="5">
        <v>0</v>
      </c>
      <c r="AB39" s="5">
        <f>SUM(A39:AA39)</f>
        <v>96502.648006902455</v>
      </c>
    </row>
  </sheetData>
  <mergeCells count="15">
    <mergeCell ref="G2:M2"/>
    <mergeCell ref="G8:G12"/>
    <mergeCell ref="A23:A24"/>
    <mergeCell ref="B23:E23"/>
    <mergeCell ref="F23:I23"/>
    <mergeCell ref="M17:T17"/>
    <mergeCell ref="A17:A18"/>
    <mergeCell ref="B17:C17"/>
    <mergeCell ref="D17:D18"/>
    <mergeCell ref="U17:U18"/>
    <mergeCell ref="V17:V18"/>
    <mergeCell ref="W17:W18"/>
    <mergeCell ref="D9:D11"/>
    <mergeCell ref="E9:E11"/>
    <mergeCell ref="E17:L1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20" ma:contentTypeDescription="Create a new document." ma:contentTypeScope="" ma:versionID="ea4e5d10fa89c9815ebf3d9d51abb56c">
  <xsd:schema xmlns:xsd="http://www.w3.org/2001/XMLSchema" xmlns:xs="http://www.w3.org/2001/XMLSchema" xmlns:p="http://schemas.microsoft.com/office/2006/metadata/properties" xmlns:ns2="366ae72f-6d51-4737-8f6b-a9169c366b64" xmlns:ns3="a3cd7b71-671d-4139-9a97-5d1a7380fae4" xmlns:ns4="50c9b839-8b53-4ddb-9b24-b96221f2bda6" targetNamespace="http://schemas.microsoft.com/office/2006/metadata/properties" ma:root="true" ma:fieldsID="bb0d8430c0dc2f6bfac168702e804803" ns2:_="" ns3:_="" ns4:_="">
    <xsd:import namespace="366ae72f-6d51-4737-8f6b-a9169c366b64"/>
    <xsd:import namespace="a3cd7b71-671d-4139-9a97-5d1a7380fae4"/>
    <xsd:import namespace="50c9b839-8b53-4ddb-9b24-b96221f2bd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b839-8b53-4ddb-9b24-b96221f2bda6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5fd50e79-fa69-4ed5-b0f8-bdacc103d93a}" ma:internalName="TaxCatchAll" ma:showField="CatchAllData" ma:web="a3cd7b71-671d-4139-9a97-5d1a7380f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6ae72f-6d51-4737-8f6b-a9169c366b64">
      <Terms xmlns="http://schemas.microsoft.com/office/infopath/2007/PartnerControls"/>
    </lcf76f155ced4ddcb4097134ff3c332f>
    <TaxCatchAll xmlns="50c9b839-8b53-4ddb-9b24-b96221f2bda6" xsi:nil="true"/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F71D9109-AE21-4823-9876-6D615EFC6755}"/>
</file>

<file path=customXml/itemProps2.xml><?xml version="1.0" encoding="utf-8"?>
<ds:datastoreItem xmlns:ds="http://schemas.openxmlformats.org/officeDocument/2006/customXml" ds:itemID="{03724AE5-8703-4E21-BF5C-26BE05D84C28}"/>
</file>

<file path=customXml/itemProps3.xml><?xml version="1.0" encoding="utf-8"?>
<ds:datastoreItem xmlns:ds="http://schemas.openxmlformats.org/officeDocument/2006/customXml" ds:itemID="{5E3B9B1A-D484-431B-895B-1F5C9F446F6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All</vt:lpstr>
      <vt:lpstr>PT impact</vt:lpstr>
      <vt:lpstr>Brazil</vt:lpstr>
      <vt:lpstr>Bus Brazil</vt:lpstr>
      <vt:lpstr>Colombia</vt:lpstr>
      <vt:lpstr>Bus Colombia</vt:lpstr>
      <vt:lpstr>Mexico</vt:lpstr>
      <vt:lpstr>Bus Mexico</vt:lpstr>
      <vt:lpstr>Peru</vt:lpstr>
      <vt:lpstr>Bus Peru</vt:lpstr>
      <vt:lpstr>defaults</vt:lpstr>
      <vt:lpstr>Grid Factors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grutter</dc:creator>
  <cp:lastModifiedBy>SOUIRGI Reda</cp:lastModifiedBy>
  <dcterms:created xsi:type="dcterms:W3CDTF">2021-02-27T12:23:26Z</dcterms:created>
  <dcterms:modified xsi:type="dcterms:W3CDTF">2024-05-29T17:21:11Z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  <property fmtid="{D5CDD505-2E9C-101B-9397-08002B2CF9AE}" pid="3" name="MediaServiceImageTags">
    <vt:lpwstr/>
  </property>
</Properties>
</file>