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Alacevich\Dropbox\Countries\Tajikistan\CASP+ GCF 2024\Review 03_2024 IDR\CASP+ REVISED IDR March24 - documents for GCF\"/>
    </mc:Choice>
  </mc:AlternateContent>
  <xr:revisionPtr revIDLastSave="0" documentId="13_ncr:1_{E799A69F-9FEA-47C6-8B05-4FEC202A4772}" xr6:coauthVersionLast="47" xr6:coauthVersionMax="47" xr10:uidLastSave="{00000000-0000-0000-0000-000000000000}"/>
  <bookViews>
    <workbookView xWindow="-120" yWindow="-120" windowWidth="29040" windowHeight="15840" activeTab="4" xr2:uid="{23104E3F-977B-C645-A492-2D51EB120AF0}"/>
  </bookViews>
  <sheets>
    <sheet name="CASP+ Beneficiairies (Summary)" sheetId="1" r:id="rId1"/>
    <sheet name="Core Indicators IRMF" sheetId="12" r:id="rId2"/>
    <sheet name="CR. 2 SI.2.1" sheetId="18" r:id="rId3"/>
    <sheet name="CR 2. SI 2.2" sheetId="15" r:id="rId4"/>
    <sheet name="CR2 -SI 2.5" sheetId="14" r:id="rId5"/>
    <sheet name="CR 3. " sheetId="16" r:id="rId6"/>
    <sheet name="CR.4" sheetId="17" r:id="rId7"/>
    <sheet name="Outcomes " sheetId="9" r:id="rId8"/>
    <sheet name="Employment generation " sheetId="10" r:id="rId9"/>
    <sheet name="Livestock Information" sheetId="5" r:id="rId10"/>
    <sheet name="Vos in Khatlon" sheetId="7" r:id="rId11"/>
    <sheet name="PUUs" sheetId="6" r:id="rId12"/>
    <sheet name="Forestry Plans" sheetId="3" r:id="rId13"/>
    <sheet name="Basic Facts" sheetId="2" r:id="rId14"/>
    <sheet name="Vllage data" sheetId="4" r:id="rId15"/>
    <sheet name="Revised data on 21 districts" sheetId="11" r:id="rId16"/>
    <sheet name="Benchmarking" sheetId="8" r:id="rId17"/>
  </sheets>
  <definedNames>
    <definedName name="_ftn1" localSheetId="0">'CASP+ Beneficiairies (Summary)'!$A$33</definedName>
    <definedName name="_Hlk69457000" localSheetId="0">'CASP+ Beneficiairies (Summary)'!$A$36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4" l="1"/>
  <c r="I15" i="18"/>
  <c r="N11" i="1"/>
  <c r="K58" i="1"/>
  <c r="N18" i="1"/>
  <c r="N14" i="1"/>
  <c r="N46" i="1"/>
  <c r="L46" i="1" s="1"/>
  <c r="L48" i="1" s="1"/>
  <c r="K18" i="1"/>
  <c r="E25" i="1" l="1"/>
  <c r="G26" i="1"/>
  <c r="F26" i="1"/>
  <c r="E22" i="2"/>
  <c r="I25" i="1" l="1"/>
  <c r="H25" i="1" s="1"/>
  <c r="E26" i="1"/>
  <c r="F25" i="1"/>
  <c r="I26" i="1"/>
  <c r="H26" i="1" s="1"/>
  <c r="G25" i="1"/>
  <c r="H10" i="15"/>
  <c r="H8" i="15"/>
  <c r="G30" i="11"/>
  <c r="G29" i="11"/>
  <c r="I23" i="11"/>
  <c r="D7" i="12"/>
  <c r="D6" i="12"/>
  <c r="D5" i="12"/>
  <c r="C11" i="12" l="1"/>
  <c r="C12" i="12"/>
  <c r="D36" i="16"/>
  <c r="D6" i="16" s="1"/>
  <c r="F6" i="16" s="1"/>
  <c r="A36" i="16"/>
  <c r="A35" i="16"/>
  <c r="D35" i="16" s="1"/>
  <c r="I31" i="16"/>
  <c r="F31" i="16"/>
  <c r="C31" i="16"/>
  <c r="F8" i="16"/>
  <c r="F5" i="16"/>
  <c r="E40" i="16"/>
  <c r="E3" i="17"/>
  <c r="I8" i="15"/>
  <c r="G8" i="15" s="1"/>
  <c r="F8" i="15" s="1"/>
  <c r="S11" i="14"/>
  <c r="Q11" i="14" s="1"/>
  <c r="S10" i="14"/>
  <c r="S9" i="14"/>
  <c r="Q9" i="14" s="1"/>
  <c r="S8" i="14"/>
  <c r="Q8" i="14" s="1"/>
  <c r="S7" i="14"/>
  <c r="S6" i="14"/>
  <c r="Q7" i="14"/>
  <c r="P7" i="14"/>
  <c r="O7" i="14"/>
  <c r="Q6" i="14"/>
  <c r="P6" i="14"/>
  <c r="O6" i="14"/>
  <c r="D37" i="16" l="1"/>
  <c r="D7" i="16"/>
  <c r="F7" i="16" s="1"/>
  <c r="S12" i="14"/>
  <c r="Q12" i="14" s="1"/>
  <c r="F9" i="16"/>
  <c r="Q10" i="14"/>
  <c r="E8" i="15"/>
  <c r="L30" i="2"/>
  <c r="J31" i="2"/>
  <c r="J30" i="2"/>
  <c r="J28" i="2"/>
  <c r="E30" i="2"/>
  <c r="E29" i="2"/>
  <c r="C8" i="12" l="1"/>
  <c r="D8" i="12" s="1"/>
  <c r="R12" i="14"/>
  <c r="W51" i="1"/>
  <c r="V46" i="1" l="1"/>
  <c r="X46" i="1" s="1"/>
  <c r="E27" i="11"/>
  <c r="I47" i="1" l="1"/>
  <c r="J73" i="1" l="1"/>
  <c r="V4" i="1" l="1"/>
  <c r="Q4" i="2"/>
  <c r="Q6" i="2" s="1"/>
  <c r="H24" i="1"/>
  <c r="D23" i="11" l="1"/>
  <c r="F23" i="11" l="1"/>
  <c r="E23" i="11"/>
  <c r="J23" i="11"/>
  <c r="G23" i="11"/>
  <c r="K23" i="11"/>
  <c r="H23" i="11"/>
  <c r="K25" i="11" l="1"/>
  <c r="E29" i="11"/>
  <c r="E31" i="11"/>
  <c r="V47" i="1"/>
  <c r="X47" i="1" s="1"/>
  <c r="D9" i="9"/>
  <c r="F9" i="9" s="1"/>
  <c r="F25" i="11"/>
  <c r="G25" i="11"/>
  <c r="L8" i="8"/>
  <c r="L4" i="8"/>
  <c r="K26" i="11" l="1"/>
  <c r="E33" i="11"/>
  <c r="M6" i="8"/>
  <c r="L6" i="8"/>
  <c r="M5" i="8"/>
  <c r="L5" i="8"/>
  <c r="M7" i="8"/>
  <c r="L7" i="8"/>
  <c r="K7" i="8"/>
  <c r="E32" i="11" l="1"/>
  <c r="L26" i="11"/>
  <c r="E34" i="11" s="1"/>
  <c r="H4" i="10"/>
  <c r="C4" i="10"/>
  <c r="D4" i="10" s="1"/>
  <c r="F4" i="10" s="1"/>
  <c r="I4" i="10" s="1"/>
  <c r="G48" i="1" l="1"/>
  <c r="F48" i="1" s="1"/>
  <c r="E7" i="9" s="1"/>
  <c r="E62" i="1"/>
  <c r="K62" i="1" s="1"/>
  <c r="I27" i="1" s="1"/>
  <c r="H27" i="1" s="1"/>
  <c r="E48" i="1" l="1"/>
  <c r="C2" i="9"/>
  <c r="D7" i="9" s="1"/>
  <c r="I45" i="1"/>
  <c r="H45" i="1" s="1"/>
  <c r="F45" i="1" l="1"/>
  <c r="S12" i="3"/>
  <c r="N52" i="1"/>
  <c r="I42" i="1"/>
  <c r="F42" i="1" s="1"/>
  <c r="K70" i="1"/>
  <c r="I41" i="1" s="1"/>
  <c r="F41" i="1" s="1"/>
  <c r="D41" i="1"/>
  <c r="K68" i="1"/>
  <c r="I68" i="1"/>
  <c r="G68" i="1"/>
  <c r="C71" i="1"/>
  <c r="K69" i="1"/>
  <c r="I40" i="1" s="1"/>
  <c r="H67" i="1"/>
  <c r="K67" i="1" s="1"/>
  <c r="I36" i="1" s="1"/>
  <c r="F36" i="1" s="1"/>
  <c r="D35" i="1"/>
  <c r="I66" i="1"/>
  <c r="K66" i="1" s="1"/>
  <c r="I35" i="1" s="1"/>
  <c r="H35" i="1" s="1"/>
  <c r="I65" i="1"/>
  <c r="K65" i="1" s="1"/>
  <c r="I34" i="1" s="1"/>
  <c r="F34" i="1" s="1"/>
  <c r="D34" i="1"/>
  <c r="F35" i="1" l="1"/>
  <c r="F40" i="1"/>
  <c r="H40" i="1"/>
  <c r="I37" i="1"/>
  <c r="H41" i="1"/>
  <c r="H42" i="1"/>
  <c r="H36" i="1"/>
  <c r="J82" i="1"/>
  <c r="J81" i="1"/>
  <c r="F37" i="1" l="1"/>
  <c r="H37" i="1"/>
  <c r="J83" i="1"/>
  <c r="H23" i="1"/>
  <c r="K52" i="1" l="1"/>
  <c r="K51" i="1"/>
  <c r="N10" i="1" s="1"/>
  <c r="S10" i="1" s="1"/>
  <c r="L10" i="1" l="1"/>
  <c r="Q10" i="1" s="1"/>
  <c r="M10" i="1"/>
  <c r="R10" i="1" s="1"/>
  <c r="M11" i="1"/>
  <c r="L11" i="1"/>
  <c r="J11" i="1" l="1"/>
  <c r="K11" i="1"/>
  <c r="K10" i="1"/>
  <c r="P10" i="1" s="1"/>
  <c r="J10" i="1"/>
  <c r="O10" i="1" s="1"/>
  <c r="J72" i="1" l="1"/>
  <c r="K64" i="1"/>
  <c r="I29" i="1" s="1"/>
  <c r="G20" i="1"/>
  <c r="G19" i="1"/>
  <c r="G9" i="1"/>
  <c r="G8" i="1"/>
  <c r="G6" i="1"/>
  <c r="I22" i="1"/>
  <c r="K63" i="1"/>
  <c r="I28" i="1" s="1"/>
  <c r="H28" i="1" s="1"/>
  <c r="I20" i="4"/>
  <c r="D20" i="4"/>
  <c r="G54" i="1"/>
  <c r="G53" i="1"/>
  <c r="K53" i="1" s="1"/>
  <c r="N2" i="4" l="1"/>
  <c r="N3" i="4"/>
  <c r="N6" i="4"/>
  <c r="M14" i="1"/>
  <c r="L14" i="1"/>
  <c r="N7" i="4"/>
  <c r="N9" i="4"/>
  <c r="N10" i="4"/>
  <c r="K54" i="1"/>
  <c r="N15" i="1" s="1"/>
  <c r="N17" i="4"/>
  <c r="N13" i="4"/>
  <c r="N14" i="4"/>
  <c r="N16" i="4"/>
  <c r="N5" i="4"/>
  <c r="N12" i="4"/>
  <c r="N19" i="4"/>
  <c r="N18" i="4"/>
  <c r="H20" i="4"/>
  <c r="N4" i="4"/>
  <c r="N8" i="4"/>
  <c r="N11" i="4"/>
  <c r="N15" i="4"/>
  <c r="J20" i="4"/>
  <c r="K20" i="4"/>
  <c r="E20" i="4"/>
  <c r="E22" i="4" s="1"/>
  <c r="E23" i="4" s="1"/>
  <c r="F20" i="4"/>
  <c r="G20" i="4"/>
  <c r="K23" i="4" l="1"/>
  <c r="H48" i="1"/>
  <c r="M15" i="1"/>
  <c r="L15" i="1"/>
  <c r="J14" i="1"/>
  <c r="K14" i="1"/>
  <c r="G22" i="4"/>
  <c r="G23" i="4" s="1"/>
  <c r="G55" i="1" s="1"/>
  <c r="K55" i="1" s="1"/>
  <c r="F22" i="4"/>
  <c r="F25" i="4" s="1"/>
  <c r="N20" i="4"/>
  <c r="H22" i="4"/>
  <c r="H23" i="4" s="1"/>
  <c r="M18" i="1" l="1"/>
  <c r="M46" i="1" s="1"/>
  <c r="M48" i="1" s="1"/>
  <c r="R48" i="1" s="1"/>
  <c r="R49" i="1" s="1"/>
  <c r="F2" i="9" s="1"/>
  <c r="L18" i="1"/>
  <c r="J15" i="1"/>
  <c r="K15" i="1"/>
  <c r="G25" i="4"/>
  <c r="F23" i="4"/>
  <c r="H25" i="4"/>
  <c r="R46" i="1" l="1"/>
  <c r="R52" i="1" s="1"/>
  <c r="W49" i="1"/>
  <c r="X49" i="1" s="1"/>
  <c r="D8" i="9" s="1"/>
  <c r="N48" i="1"/>
  <c r="S46" i="1" s="1"/>
  <c r="I44" i="1"/>
  <c r="J18" i="1"/>
  <c r="L21" i="2"/>
  <c r="I21" i="2"/>
  <c r="G21" i="2"/>
  <c r="J21" i="2" s="1"/>
  <c r="E21" i="2"/>
  <c r="H21" i="2" l="1"/>
  <c r="S48" i="1"/>
  <c r="V5" i="1" s="1"/>
  <c r="T52" i="1"/>
  <c r="Q46" i="1"/>
  <c r="Q48" i="1" s="1"/>
  <c r="K46" i="1"/>
  <c r="C4" i="9"/>
  <c r="J46" i="1"/>
  <c r="J48" i="1" s="1"/>
  <c r="F44" i="1"/>
  <c r="H44" i="1"/>
  <c r="G2" i="9" l="1"/>
  <c r="W50" i="1"/>
  <c r="X50" i="1" s="1"/>
  <c r="P46" i="1"/>
  <c r="P48" i="1" s="1"/>
  <c r="K48" i="1"/>
  <c r="J22" i="1"/>
  <c r="D6" i="2"/>
  <c r="D5" i="2"/>
  <c r="D4" i="2"/>
  <c r="D3" i="2"/>
  <c r="H34" i="1"/>
  <c r="H46" i="1" s="1"/>
  <c r="O46" i="1" l="1"/>
  <c r="O48" i="1" s="1"/>
  <c r="I46" i="1"/>
</calcChain>
</file>

<file path=xl/sharedStrings.xml><?xml version="1.0" encoding="utf-8"?>
<sst xmlns="http://schemas.openxmlformats.org/spreadsheetml/2006/main" count="979" uniqueCount="584">
  <si>
    <t>Component 1: Strengthening public sector capacity for transformative climate-resilient management of NR</t>
  </si>
  <si>
    <t>Output 1.1: Capacities of relevant national institutions for climate-resilient natural resources management are strengthened</t>
  </si>
  <si>
    <t>Output 1.2: Enabling environment for climate adaptive, inclusive and integrated management of pasture, forestry and livestock resources is enhanced</t>
  </si>
  <si>
    <t>Component 2: Investments in community capacity for adaption and resilience to to climate change</t>
  </si>
  <si>
    <t>Output 2.1: Climate-sensitive Community Action Plans (CsCAP)</t>
  </si>
  <si>
    <t>Output 2.2: CsCAPs executed by local institutions in timely and effective manner</t>
  </si>
  <si>
    <t>Component 3: Strengthening livelihoods for enhanced resilience through market based approaches</t>
  </si>
  <si>
    <t>Urban</t>
  </si>
  <si>
    <t>Rural</t>
  </si>
  <si>
    <t>Male</t>
  </si>
  <si>
    <t>Female</t>
  </si>
  <si>
    <r>
      <t>Source: </t>
    </r>
    <r>
      <rPr>
        <sz val="11"/>
        <color rgb="FF222222"/>
        <rFont val="Calibri"/>
        <family val="2"/>
        <scheme val="minor"/>
      </rPr>
      <t>Agency on Statistics under the President of Tajikistan. "Tajikistan in Figures" 2020, page 25</t>
    </r>
  </si>
  <si>
    <t>(%)</t>
  </si>
  <si>
    <t>Total population</t>
  </si>
  <si>
    <t>Total number of farming units - 178400, including  172668 units of Dehkan farms.(Source: A</t>
  </si>
  <si>
    <t>Agency on Statistics under the President of Tajikistan. “Agriculture of Tajikistan” 2019. Pages 327-328)</t>
  </si>
  <si>
    <t>Tajikistan Demographic and Health Survey 2017 [FR341]</t>
  </si>
  <si>
    <t>https://dhsprogram.com/pubs/pdf/FR341/FR341.pdf</t>
  </si>
  <si>
    <t>Rural household Size</t>
  </si>
  <si>
    <t>women HH</t>
  </si>
  <si>
    <t>women composition</t>
  </si>
  <si>
    <t>population under age 25,</t>
  </si>
  <si>
    <t>Women</t>
  </si>
  <si>
    <t>Unit</t>
  </si>
  <si>
    <t>Total</t>
  </si>
  <si>
    <t>Men</t>
  </si>
  <si>
    <t>Households</t>
  </si>
  <si>
    <t>Footnote</t>
  </si>
  <si>
    <t>a</t>
  </si>
  <si>
    <t>students</t>
  </si>
  <si>
    <t>packages</t>
  </si>
  <si>
    <t>b</t>
  </si>
  <si>
    <t>Institution</t>
  </si>
  <si>
    <t>Pasture Management Plans</t>
  </si>
  <si>
    <t>c</t>
  </si>
  <si>
    <t>members</t>
  </si>
  <si>
    <t>d</t>
  </si>
  <si>
    <t>Joint Forestry Management Plans</t>
  </si>
  <si>
    <t>Physical Infrastructure</t>
  </si>
  <si>
    <t>Mechanization</t>
  </si>
  <si>
    <t>HA</t>
  </si>
  <si>
    <t>NR</t>
  </si>
  <si>
    <t>PERSONS</t>
  </si>
  <si>
    <t>%</t>
  </si>
  <si>
    <t>USD</t>
  </si>
  <si>
    <t>DAYS</t>
  </si>
  <si>
    <t>JFM</t>
  </si>
  <si>
    <t>DIRECT</t>
  </si>
  <si>
    <t xml:space="preserve"> Total </t>
  </si>
  <si>
    <t>Avg JFM Contract size</t>
  </si>
  <si>
    <t>Nr Contracts</t>
  </si>
  <si>
    <t>Household size</t>
  </si>
  <si>
    <t>Beneficiaries</t>
  </si>
  <si>
    <t>Of which women %</t>
  </si>
  <si>
    <t>Of which women</t>
  </si>
  <si>
    <t>Women contract counterpart</t>
  </si>
  <si>
    <t>Target nr of contracts with Women</t>
  </si>
  <si>
    <t>Avg Labour Cost per Day</t>
  </si>
  <si>
    <t>Planting Labour cost JFM</t>
  </si>
  <si>
    <t>Planting Labour Cost JFM In-Kind</t>
  </si>
  <si>
    <t>Labour Cost DIRECT</t>
  </si>
  <si>
    <t>Labour cost per m fence</t>
  </si>
  <si>
    <t>Labour cost Fencing JFM &amp; Direct</t>
  </si>
  <si>
    <t>Work days</t>
  </si>
  <si>
    <t>Of which youth could be</t>
  </si>
  <si>
    <t>Youth work days</t>
  </si>
  <si>
    <t>Riparian</t>
  </si>
  <si>
    <t xml:space="preserve"> $                                              1.00</t>
  </si>
  <si>
    <t xml:space="preserve"> $                                    2,247.21</t>
  </si>
  <si>
    <t xml:space="preserve"> $                                                        2,247.21</t>
  </si>
  <si>
    <t xml:space="preserve"> $                    13,963.43</t>
  </si>
  <si>
    <t xml:space="preserve"> $                                             1.20</t>
  </si>
  <si>
    <t xml:space="preserve"> $                                                      14,978.10</t>
  </si>
  <si>
    <t>Fruit and nut</t>
  </si>
  <si>
    <t xml:space="preserve"> $                                 28,778.33</t>
  </si>
  <si>
    <t xml:space="preserve"> $                                                     28,778.33</t>
  </si>
  <si>
    <t xml:space="preserve"> $                    46,573.14</t>
  </si>
  <si>
    <t xml:space="preserve"> $                                                      85,306.48</t>
  </si>
  <si>
    <t>Pistachio</t>
  </si>
  <si>
    <t xml:space="preserve"> $                                    8,811.58</t>
  </si>
  <si>
    <t xml:space="preserve"> $                                                        8,811.58</t>
  </si>
  <si>
    <t xml:space="preserve"> $                    23,754.86</t>
  </si>
  <si>
    <t xml:space="preserve"> $                                                      33,766.58</t>
  </si>
  <si>
    <t>Juniper</t>
  </si>
  <si>
    <t xml:space="preserve"> $                                 20,780.95</t>
  </si>
  <si>
    <t xml:space="preserve"> $                                                     20,780.95</t>
  </si>
  <si>
    <t xml:space="preserve"> $                       4,682.86</t>
  </si>
  <si>
    <t xml:space="preserve"> $                                                      38,286.50</t>
  </si>
  <si>
    <t>Natural regeneration of Juniper</t>
  </si>
  <si>
    <t xml:space="preserve"> $                                    4,866.47</t>
  </si>
  <si>
    <t xml:space="preserve"> $                                                        4,866.47</t>
  </si>
  <si>
    <t xml:space="preserve"> $                 105,364.29</t>
  </si>
  <si>
    <t xml:space="preserve"> $                                                      92,939.86</t>
  </si>
  <si>
    <t>Open and guarded</t>
  </si>
  <si>
    <t xml:space="preserve">                            -  </t>
  </si>
  <si>
    <t xml:space="preserve">                                      -  </t>
  </si>
  <si>
    <t xml:space="preserve">                                                                                    -  </t>
  </si>
  <si>
    <t xml:space="preserve"> $                                 16,371.13</t>
  </si>
  <si>
    <t xml:space="preserve"> $                                                     16,371.13</t>
  </si>
  <si>
    <t xml:space="preserve"> $                    50,074.64</t>
  </si>
  <si>
    <t xml:space="preserve"> $                                                      33,759.69</t>
  </si>
  <si>
    <t>Saxaul</t>
  </si>
  <si>
    <t xml:space="preserve"> $                                                     -  </t>
  </si>
  <si>
    <t xml:space="preserve"> $                                                                          -  </t>
  </si>
  <si>
    <t xml:space="preserve"> $                       5,960.00</t>
  </si>
  <si>
    <t xml:space="preserve"> $                                                         2,400.00</t>
  </si>
  <si>
    <t>Poplar</t>
  </si>
  <si>
    <t xml:space="preserve"> $                                         -  </t>
  </si>
  <si>
    <t xml:space="preserve"> $                                 81,855.66</t>
  </si>
  <si>
    <t xml:space="preserve"> $                                                     81,855.66</t>
  </si>
  <si>
    <t xml:space="preserve"> $                 250,373.21</t>
  </si>
  <si>
    <t xml:space="preserve"> $                                                   301,437.21</t>
  </si>
  <si>
    <t>Based on DESIGN STAGE, CONSTRAINED scenario</t>
  </si>
  <si>
    <t>plans</t>
  </si>
  <si>
    <t>e</t>
  </si>
  <si>
    <t>Quantity</t>
  </si>
  <si>
    <t>hectares</t>
  </si>
  <si>
    <t>f</t>
  </si>
  <si>
    <t>g</t>
  </si>
  <si>
    <t>h</t>
  </si>
  <si>
    <t>i</t>
  </si>
  <si>
    <t>Year</t>
  </si>
  <si>
    <t>Population</t>
  </si>
  <si>
    <t>Target</t>
  </si>
  <si>
    <t>Rural population</t>
  </si>
  <si>
    <t>Rural Housheolds</t>
  </si>
  <si>
    <t>women population</t>
  </si>
  <si>
    <t>women in rural areas</t>
  </si>
  <si>
    <t>Dehkan Farms No)</t>
  </si>
  <si>
    <t>65% in rural areas</t>
  </si>
  <si>
    <t>Livestock producers</t>
  </si>
  <si>
    <t>Forest users</t>
  </si>
  <si>
    <t>Pasture users</t>
  </si>
  <si>
    <t>Irrigated Area (ha)</t>
  </si>
  <si>
    <t>cropped area (ha)</t>
  </si>
  <si>
    <t>pasture area (ha)</t>
  </si>
  <si>
    <t>small animals</t>
  </si>
  <si>
    <t>large ruminants</t>
  </si>
  <si>
    <t> think we have an issue. We already faced this problem for the NIP. The Tajstat books do not provide any info on livestock farmers numbers (only livestock inventories) and pasture users. I have also browsed all the available reports on livestock and pasture sector and I have not been able to find this in a single doc. It’s the same everywhere, you see the number of livestock, area of pasture, but never the number of people. Same for FAOSTAT, national strategies, etc…. I think we need to table a special request to Tajstat to have these figures; the problem is that such a request must be official and may take some time to get an answer. Another possible source of info would be the Vet Services (Food Security Committee), we can ask them tomorrow, but I see in the PVS report that OIE was also not able to get this figure (it is considered as “unknown”) so I doubt they have it.</t>
  </si>
  <si>
    <t>For pasture users, we could ask to PMT but I doubt they know.</t>
  </si>
  <si>
    <t>What I can do for the time being is try to give you some approximations:</t>
  </si>
  <si>
    <t>We know that there are 2.36 M heads of cattle (994,00 in Khatlon) and that 93 % (2.16 M) are owned by HH farms</t>
  </si>
  <si>
    <t>We also know that the average number of cattle per farm is around 3, but this is an estimate, which means that we have around 786,000 smallholder farmers owning Livestock. In the project area, all these HH livestock owners use collective pasture since they have no private pasture land, so they can be considered as pasture users as well.</t>
  </si>
  <si>
    <t xml:space="preserve"> Training of staff of Pasture Meliorative Trust</t>
  </si>
  <si>
    <t>Courses on climate change</t>
  </si>
  <si>
    <t>Scholarships on climate-resilient natural resources management</t>
  </si>
  <si>
    <t>Climate sensitive technical packages</t>
  </si>
  <si>
    <t xml:space="preserve">Strengthening State Enterprise for Animal Breeding and Artificial Insemination </t>
  </si>
  <si>
    <t>Inclusive and integrated policy dialogue</t>
  </si>
  <si>
    <t>Review of the breeding strategy</t>
  </si>
  <si>
    <t>Establishment and strengthening PUUs or PUGs</t>
  </si>
  <si>
    <t>Establishment and strengthening of Pasture Commissions.</t>
  </si>
  <si>
    <t>j</t>
  </si>
  <si>
    <t>AI techncians</t>
  </si>
  <si>
    <t xml:space="preserve"> Training of youth in Artificial Insemination</t>
  </si>
  <si>
    <t xml:space="preserve"> Artificial Insemination Campaigns</t>
  </si>
  <si>
    <t>Individual grants</t>
  </si>
  <si>
    <t>policy</t>
  </si>
  <si>
    <t>strategy</t>
  </si>
  <si>
    <t xml:space="preserve">c: It is assumed that of the 172668 dehkan farms all own livestock and that the policy on pastures will impact atleast 30% </t>
  </si>
  <si>
    <t>#</t>
  </si>
  <si>
    <t>Oblast</t>
  </si>
  <si>
    <t>District</t>
  </si>
  <si>
    <t>Number of jamoats</t>
  </si>
  <si>
    <t>Number of villages</t>
  </si>
  <si>
    <t>Women led HH</t>
  </si>
  <si>
    <t>Poverty at distrist level</t>
  </si>
  <si>
    <t>Pastures, ha</t>
  </si>
  <si>
    <t>Сrop land, ha</t>
  </si>
  <si>
    <t>Comments</t>
  </si>
  <si>
    <t>Khatlon</t>
  </si>
  <si>
    <t>ELMAR,  IFAD</t>
  </si>
  <si>
    <t>CARITAS</t>
  </si>
  <si>
    <t xml:space="preserve">CAMP4ASB, IFAD </t>
  </si>
  <si>
    <t>ELMAR</t>
  </si>
  <si>
    <t xml:space="preserve">ELMAR, IFAD </t>
  </si>
  <si>
    <t>CAMP4ASB, IFAD</t>
  </si>
  <si>
    <t>Khovaling</t>
  </si>
  <si>
    <t>ELMAR, WFP\GCF</t>
  </si>
  <si>
    <t>-</t>
  </si>
  <si>
    <t>UNDP\AF</t>
  </si>
  <si>
    <t>Sugd</t>
  </si>
  <si>
    <t>Panjakent</t>
  </si>
  <si>
    <t>Yovon</t>
  </si>
  <si>
    <t>A.Jomi</t>
  </si>
  <si>
    <t>average</t>
  </si>
  <si>
    <t>Number of villages in 21 districts</t>
  </si>
  <si>
    <t>400 villages</t>
  </si>
  <si>
    <t>Direct Indivduals</t>
  </si>
  <si>
    <t>Direct Households</t>
  </si>
  <si>
    <t>Indirect Indivduals</t>
  </si>
  <si>
    <t>Indirect Households</t>
  </si>
  <si>
    <t>Grand Total Individuals</t>
  </si>
  <si>
    <t>Grand Total Households</t>
  </si>
  <si>
    <t>l</t>
  </si>
  <si>
    <t>n</t>
  </si>
  <si>
    <t>HH size</t>
  </si>
  <si>
    <t>Livestock in RT end of 2019</t>
  </si>
  <si>
    <t>№</t>
  </si>
  <si>
    <t>Districts</t>
  </si>
  <si>
    <t>Cattle</t>
  </si>
  <si>
    <t>Sheep &amp; goats</t>
  </si>
  <si>
    <t>Including cows</t>
  </si>
  <si>
    <t>DRD</t>
  </si>
  <si>
    <t>Faizobod</t>
  </si>
  <si>
    <t>Rogun</t>
  </si>
  <si>
    <t>Sangvor</t>
  </si>
  <si>
    <t>Nurabad</t>
  </si>
  <si>
    <t>Rasht</t>
  </si>
  <si>
    <t>Lakhsh</t>
  </si>
  <si>
    <t>Tajikabad</t>
  </si>
  <si>
    <t>Tursunzade</t>
  </si>
  <si>
    <t>Vahdat</t>
  </si>
  <si>
    <t>Rudaki</t>
  </si>
  <si>
    <t>Gissar</t>
  </si>
  <si>
    <t>Shahrinav</t>
  </si>
  <si>
    <t>Varzob</t>
  </si>
  <si>
    <t>Итого:</t>
  </si>
  <si>
    <t>Kulyab city</t>
  </si>
  <si>
    <t>Hamadoni</t>
  </si>
  <si>
    <t>Temurmalik</t>
  </si>
  <si>
    <t>Muminobod</t>
  </si>
  <si>
    <t>Vose</t>
  </si>
  <si>
    <t>Baljuvan</t>
  </si>
  <si>
    <t>Dangara</t>
  </si>
  <si>
    <t>Farkhor</t>
  </si>
  <si>
    <t>Sh. Shohin</t>
  </si>
  <si>
    <t>Total:</t>
  </si>
  <si>
    <t>Bokhtar city</t>
  </si>
  <si>
    <t>N.Husrav</t>
  </si>
  <si>
    <t>Kushoniyon</t>
  </si>
  <si>
    <t>Huroson</t>
  </si>
  <si>
    <t>Dusti</t>
  </si>
  <si>
    <t>Kubodion</t>
  </si>
  <si>
    <t>J.Balkhi</t>
  </si>
  <si>
    <t>Jayhun</t>
  </si>
  <si>
    <t xml:space="preserve">Panj </t>
  </si>
  <si>
    <t>Levakant</t>
  </si>
  <si>
    <t>Shahrituz</t>
  </si>
  <si>
    <t>Vakhsh</t>
  </si>
  <si>
    <t>Yavan</t>
  </si>
  <si>
    <t>Nurek city</t>
  </si>
  <si>
    <t>Khujand city</t>
  </si>
  <si>
    <t>Guliston city</t>
  </si>
  <si>
    <t>Buston city</t>
  </si>
  <si>
    <t>Istiqlol city</t>
  </si>
  <si>
    <t>Isfara city</t>
  </si>
  <si>
    <t>Konibodom city</t>
  </si>
  <si>
    <t>B.Gafurov</t>
  </si>
  <si>
    <t>Asht</t>
  </si>
  <si>
    <t xml:space="preserve">Gorniy Mastchoh </t>
  </si>
  <si>
    <t xml:space="preserve">Mastchoh </t>
  </si>
  <si>
    <t>Spitamen</t>
  </si>
  <si>
    <t>J.Rasulov</t>
  </si>
  <si>
    <t>Devashtich</t>
  </si>
  <si>
    <t xml:space="preserve">Zafarobod </t>
  </si>
  <si>
    <t>Istaravshan</t>
  </si>
  <si>
    <t>Shahriston</t>
  </si>
  <si>
    <t>Aini</t>
  </si>
  <si>
    <t>State Forestry Agency</t>
  </si>
  <si>
    <t>Khorog city</t>
  </si>
  <si>
    <t>Darvoz</t>
  </si>
  <si>
    <t>Ishkoshim</t>
  </si>
  <si>
    <t>Rushon</t>
  </si>
  <si>
    <t>Shugnon</t>
  </si>
  <si>
    <t>Roshtqala</t>
  </si>
  <si>
    <t>Vanj</t>
  </si>
  <si>
    <t>Murgob</t>
  </si>
  <si>
    <t>Total in RT</t>
  </si>
  <si>
    <t>PUUs that organized by NGOs in RT (except PMU, LPDP 1,2)</t>
  </si>
  <si>
    <t>Total Village</t>
  </si>
  <si>
    <t>Engaged in PUUs</t>
  </si>
  <si>
    <t>Region / Districts</t>
  </si>
  <si>
    <t>Total Population</t>
  </si>
  <si>
    <t>nr</t>
  </si>
  <si>
    <t>Village with PUUs</t>
  </si>
  <si>
    <t>HH</t>
  </si>
  <si>
    <t>PUUs</t>
  </si>
  <si>
    <t>Organized by:</t>
  </si>
  <si>
    <t>SRD</t>
  </si>
  <si>
    <t>ACTED</t>
  </si>
  <si>
    <t>Nurobod</t>
  </si>
  <si>
    <t>Sogd Region</t>
  </si>
  <si>
    <t>WHH &amp; ACTED consortium</t>
  </si>
  <si>
    <t>ACTED Consortium</t>
  </si>
  <si>
    <t>GBAO</t>
  </si>
  <si>
    <t>Region</t>
  </si>
  <si>
    <t>Jamoats</t>
  </si>
  <si>
    <t>SUDVO</t>
  </si>
  <si>
    <t>Village</t>
  </si>
  <si>
    <t>VO</t>
  </si>
  <si>
    <t>Hhs</t>
  </si>
  <si>
    <t xml:space="preserve">Khatlon </t>
  </si>
  <si>
    <t>Shamsiddin Shohin (Shuroobod)</t>
  </si>
  <si>
    <t>Panj</t>
  </si>
  <si>
    <t>Jayhun      (Qumsangir)</t>
  </si>
  <si>
    <t>Dusti         (jilikul)</t>
  </si>
  <si>
    <t>Qabodiyon</t>
  </si>
  <si>
    <t>Shahritus</t>
  </si>
  <si>
    <t>Nosiri Khusrav</t>
  </si>
  <si>
    <t>TOTAL</t>
  </si>
  <si>
    <t># of districts</t>
  </si>
  <si>
    <t># of sub-districts</t>
  </si>
  <si>
    <t># of villages/mahalas</t>
  </si>
  <si>
    <t># of SUDVOs</t>
  </si>
  <si>
    <t># of VOs/MCs</t>
  </si>
  <si>
    <t># of hhs</t>
  </si>
  <si>
    <t>Country</t>
  </si>
  <si>
    <t>Total Financing</t>
  </si>
  <si>
    <t>GCF</t>
  </si>
  <si>
    <t>Benefciary Households</t>
  </si>
  <si>
    <t>Number</t>
  </si>
  <si>
    <t>Title</t>
  </si>
  <si>
    <t>Enhancing Multi-Hazard Early Warning System to increase resilience of Uzbekistan communities to climate change induced hazards</t>
  </si>
  <si>
    <t>Uzbekistan</t>
  </si>
  <si>
    <t>Direct</t>
  </si>
  <si>
    <t>Indirect</t>
  </si>
  <si>
    <t>11,296,000 people at risk of climate-induced hazards (Expressed as 34 %) of the country</t>
  </si>
  <si>
    <t>32.39 million people who will gain improved access to critical weather information and services (Expressed as 100 %) of the country population</t>
  </si>
  <si>
    <t>FP154: Mongolia: Aimags and Soums Green Regional Development Investment Program (ASDIP)</t>
  </si>
  <si>
    <t>Mogolia</t>
  </si>
  <si>
    <t xml:space="preserve">552,300 direct beneficiaries from adaptation (calculated as the population of the aimags targeted  will benefit through more resilient cities, improved grasslands, reduced air pollution from dust, enhanced water availability, and reduced glacier melting. </t>
  </si>
  <si>
    <t>The whole population of Mongolia of over 3 million people  will benefit from protected rangelands and enhanced food security</t>
  </si>
  <si>
    <t>112.40 million tCO2e in net GHG emission reductions.</t>
  </si>
  <si>
    <t>p</t>
  </si>
  <si>
    <t>q</t>
  </si>
  <si>
    <t>g It is assumed that one PC P will be formed per district with a membership of 20 members</t>
  </si>
  <si>
    <t>FP145</t>
  </si>
  <si>
    <t>RELIVE – REsilient LIVElihoods of vulnerable smallholder farmers in the Mayan landscapes and the Dry Corridor of Guatemala</t>
  </si>
  <si>
    <t>Guatemala</t>
  </si>
  <si>
    <t>583,146 (35% of female)</t>
  </si>
  <si>
    <t>116,353 (40% of female)</t>
  </si>
  <si>
    <t xml:space="preserve">Academy of Public Administration </t>
  </si>
  <si>
    <t>civil servants</t>
  </si>
  <si>
    <t>Staff</t>
  </si>
  <si>
    <t>District Diagnostics on Climate vulnerability</t>
  </si>
  <si>
    <t>a: It is expected that 12 techncial packages that will be developed will be promoted through the private sector and about 500 hhs will use them each year for 5 years under the project</t>
  </si>
  <si>
    <t>years</t>
  </si>
  <si>
    <t>d: It is assumed that of the 172668 dehkan farms only 50% own large ruminants  and 80% of them benefit from the breeding strategy</t>
  </si>
  <si>
    <t>f: It is assumed that one PUU or PUG will be formed per disrict with a membership of 12 members</t>
  </si>
  <si>
    <t>i. It is assumed that HHs will be benefit from use rights over the JFM lands</t>
  </si>
  <si>
    <t>ha</t>
  </si>
  <si>
    <t>j. It is assumed that no one will have use rights over the forestry land which are directly planted by the SFA</t>
  </si>
  <si>
    <t>Mid-Term</t>
  </si>
  <si>
    <t>Midterm</t>
  </si>
  <si>
    <t>Final</t>
  </si>
  <si>
    <t>Total people</t>
  </si>
  <si>
    <t>HHs</t>
  </si>
  <si>
    <t>equipment</t>
  </si>
  <si>
    <r>
      <t>Output 3.1.: Smallholder livestock farmers receive AI, animal health or training services to increase productivity of their livestock</t>
    </r>
    <r>
      <rPr>
        <sz val="8"/>
        <color theme="1"/>
        <rFont val="Calibri"/>
        <family val="2"/>
        <scheme val="minor"/>
      </rPr>
      <t> </t>
    </r>
    <r>
      <rPr>
        <b/>
        <sz val="11"/>
        <color theme="1"/>
        <rFont val="Arial"/>
        <family val="2"/>
      </rPr>
      <t xml:space="preserve"> </t>
    </r>
  </si>
  <si>
    <t>animals</t>
  </si>
  <si>
    <t>Services through Off-Fram Mating stations</t>
  </si>
  <si>
    <t>o</t>
  </si>
  <si>
    <t>Training of private veterinarians</t>
  </si>
  <si>
    <t>veterinarians</t>
  </si>
  <si>
    <t xml:space="preserve">Support adoption of climate resilient innovative technologies </t>
  </si>
  <si>
    <t>adopters</t>
  </si>
  <si>
    <t>National Master Trainers (NMT)</t>
  </si>
  <si>
    <t>r</t>
  </si>
  <si>
    <t>National Master Trainers</t>
  </si>
  <si>
    <t>FFS Facilitators</t>
  </si>
  <si>
    <t>s</t>
  </si>
  <si>
    <t>FFS Fcailitators</t>
  </si>
  <si>
    <t xml:space="preserve">Farmer Field School </t>
  </si>
  <si>
    <t>t</t>
  </si>
  <si>
    <t>Farmers</t>
  </si>
  <si>
    <t>Output 3.2: Market-driven productive alliances established and functioning</t>
  </si>
  <si>
    <t>productive alliances</t>
  </si>
  <si>
    <t>u</t>
  </si>
  <si>
    <t>dairy</t>
  </si>
  <si>
    <t>beef</t>
  </si>
  <si>
    <t>Field Days</t>
  </si>
  <si>
    <t>Field days</t>
  </si>
  <si>
    <t>v</t>
  </si>
  <si>
    <t>w</t>
  </si>
  <si>
    <t>x</t>
  </si>
  <si>
    <t>A1.0 Increased resilience and enhanced livelihoods of the most vulnerable people, communities and regions</t>
  </si>
  <si>
    <t xml:space="preserve">E.2.4. Expected total number of direct and indirect beneficiaries, (disaggregated by sex) </t>
  </si>
  <si>
    <t>E.2.5. Number of beneficiaries relative to total population (disaggregated by sex)</t>
  </si>
  <si>
    <r>
      <t>Click here to enter text.</t>
    </r>
    <r>
      <rPr>
        <sz val="10"/>
        <color theme="1"/>
        <rFont val="Arial"/>
        <family val="2"/>
      </rPr>
      <t xml:space="preserve">  </t>
    </r>
    <r>
      <rPr>
        <sz val="10"/>
        <color rgb="FF808080"/>
        <rFont val="Arial"/>
        <family val="2"/>
      </rPr>
      <t>(Expressed as %) of country(ies)</t>
    </r>
  </si>
  <si>
    <t>Expected Results</t>
  </si>
  <si>
    <t>Indicator</t>
  </si>
  <si>
    <t>A1.2 Number of males and females benefiting from the adoption of diversified, climate resilient livelihood options (including fisheries, agriculture, tourism, etc.)</t>
  </si>
  <si>
    <t>E.4. Fund-level outcomes</t>
  </si>
  <si>
    <r>
      <t>Expected</t>
    </r>
    <r>
      <rPr>
        <b/>
        <sz val="9"/>
        <color rgb="FF000000"/>
        <rFont val="Arial"/>
        <family val="2"/>
      </rPr>
      <t xml:space="preserve"> Outcomes</t>
    </r>
  </si>
  <si>
    <t>M9.0 Improved management of land or forest areas contributing to emissions reductions</t>
  </si>
  <si>
    <t xml:space="preserve">M9.1 Hectares of land or forests under improved and effective management that contributes to CO2 emission reductions </t>
  </si>
  <si>
    <t>A5.0 Strengthened institutional and regulatory systems for climate-responsive planning and development</t>
  </si>
  <si>
    <t xml:space="preserve">A5.1 Institutional and regulatory systems that improve incentives for climate resilience and their effective implementation </t>
  </si>
  <si>
    <t>A5.2 Number and level of effective coordination mechanisms</t>
  </si>
  <si>
    <t>A6.0 Increased generation and use of climate information in decision-making</t>
  </si>
  <si>
    <t>A6.1 Use of climate information products/services in decision-making in climate sensitive sectors</t>
  </si>
  <si>
    <t>A7.0 Strengthened adaptive capacity and reduced exposure to climate risks</t>
  </si>
  <si>
    <t>A7.1 Use by vulnerable households, communities, businesses and public-sector services of Fund-supported tools instruments, strategies and activities to respond to climate change and variability</t>
  </si>
  <si>
    <t>A8.0 Strengthened awareness of climate threats and risk-reduction processes</t>
  </si>
  <si>
    <t>A8.1 Number of males and females made aware of climate threats and related appropriate responses</t>
  </si>
  <si>
    <r>
      <t xml:space="preserve">ACrC1: </t>
    </r>
    <r>
      <rPr>
        <i/>
        <sz val="8"/>
        <color rgb="FF000000"/>
        <rFont val="Arial"/>
        <family val="2"/>
      </rPr>
      <t>Technologies introduced (including gender – sensitive technologies) to effectively implement adaptation actions.</t>
    </r>
  </si>
  <si>
    <t>labour years</t>
  </si>
  <si>
    <t>Labour employed in forest plantation</t>
  </si>
  <si>
    <t>i. It is assumed that HHs will benefit from use rights over the JFM lands</t>
  </si>
  <si>
    <t>j. Use rights over the forestry land which are directly planted by the SFA</t>
  </si>
  <si>
    <t>Direct Leskhoze forest plantations</t>
  </si>
  <si>
    <t>Benefits to downstream catchments</t>
  </si>
  <si>
    <t xml:space="preserve">k:Employment benefits for plantation of forests </t>
  </si>
  <si>
    <t>m</t>
  </si>
  <si>
    <t>infrastructure schemes</t>
  </si>
  <si>
    <t>y</t>
  </si>
  <si>
    <t>z</t>
  </si>
  <si>
    <t>p: It is planned that 20,000 animals will be vaccinated every for 5 years (as the initial 2 years maybe spent in preparatory work). With an average ownership of 2 large animals per hosuehold this will benefit 50,000 households overall.</t>
  </si>
  <si>
    <t>q: It is planned that 20,000 animals will receive servcies from the off-farm mating stations for 5 years (as the initial 2 years maybe spent in preparatory work). With an average ownership of 2 large animals per household this will benefit 50,000 households overall.</t>
  </si>
  <si>
    <t>s: It is assumed that there will be 20 participants in the field days in the 400 project villages.  Each participants household will paticipate twice in the field days thus the total number of benefciary hosueholds will be as follows.</t>
  </si>
  <si>
    <t>w: The project will host 2 field days per year in each of the 400 villages for 5 years with an average number of participants of 20. Each participant will attend twice so there will be 10 unique participants each year</t>
  </si>
  <si>
    <t>Output 3.3: Matching Grants for CIGs and households in selected value chains</t>
  </si>
  <si>
    <t>l: downstream benefits of afforestation to lower population catchments based on the assumption that 20 downstream village communities will experience positive benefits through reduced threats estsimated at 290 hhs per each of the village</t>
  </si>
  <si>
    <t>Grand Total with multiple benefits</t>
  </si>
  <si>
    <t>Unique housheolds</t>
  </si>
  <si>
    <t>people</t>
  </si>
  <si>
    <t xml:space="preserve">Total Village population </t>
  </si>
  <si>
    <t>51.5% of female</t>
  </si>
  <si>
    <r>
      <rPr>
        <sz val="10"/>
        <color theme="1"/>
        <rFont val="Arial"/>
        <family val="2"/>
      </rPr>
      <t xml:space="preserve">  </t>
    </r>
    <r>
      <rPr>
        <sz val="10"/>
        <color rgb="FF808080"/>
        <rFont val="Arial"/>
        <family val="2"/>
      </rPr>
      <t>(Expressed as %) of country(ies)</t>
    </r>
  </si>
  <si>
    <t>mid-term</t>
  </si>
  <si>
    <t>highest number in this range</t>
  </si>
  <si>
    <t>Civil works budget</t>
  </si>
  <si>
    <t>Labour component in USD</t>
  </si>
  <si>
    <t>labour component of civil works (%)</t>
  </si>
  <si>
    <t>Convert to TJS (Somoni)</t>
  </si>
  <si>
    <t>TJS</t>
  </si>
  <si>
    <t xml:space="preserve">Average monthly salary in Tajiksitan </t>
  </si>
  <si>
    <t>Annual</t>
  </si>
  <si>
    <t xml:space="preserve">labour years </t>
  </si>
  <si>
    <t>Total per capital</t>
  </si>
  <si>
    <t>GCF per capita</t>
  </si>
  <si>
    <t>direct only</t>
  </si>
  <si>
    <t>River Restoration for Climate Change Adaptation (RIOS)</t>
  </si>
  <si>
    <t>April, 2021</t>
  </si>
  <si>
    <t>Mexico</t>
  </si>
  <si>
    <t>SAp023</t>
  </si>
  <si>
    <t>2.391 M t CO2 eq net carbon sink</t>
  </si>
  <si>
    <t>Kyrgyzstan</t>
  </si>
  <si>
    <t>Increasing carbon sequestration in Kyrgyzstan by supporting climate investments in forests and rangelands.</t>
  </si>
  <si>
    <t>tCO2eq - 19,751,354</t>
  </si>
  <si>
    <t>Lfetime</t>
  </si>
  <si>
    <t>1330212-444-021</t>
  </si>
  <si>
    <t>CO2eq sequestration by over 19.8 m t at an estimated cost of about USD 2.5 per ton which is about 50% cheaper than the world average (ref: REDD+ related intervention costs).</t>
  </si>
  <si>
    <t xml:space="preserve">kyrgy gcf </t>
  </si>
  <si>
    <t>project area population</t>
  </si>
  <si>
    <t>A. Balkhi</t>
  </si>
  <si>
    <t>Khuroson</t>
  </si>
  <si>
    <t>DRS</t>
  </si>
  <si>
    <t>Gisar</t>
  </si>
  <si>
    <t>Zafarobod</t>
  </si>
  <si>
    <t>Mastchoh</t>
  </si>
  <si>
    <t>Revised</t>
  </si>
  <si>
    <t>villages</t>
  </si>
  <si>
    <t>Total village</t>
  </si>
  <si>
    <t>Age structure:</t>
  </si>
  <si>
    <r>
      <t>0-14 years:</t>
    </r>
    <r>
      <rPr>
        <sz val="14"/>
        <color rgb="FF000000"/>
        <rFont val="Arial"/>
        <family val="2"/>
      </rPr>
      <t> 31.43% (male 1,420,271/female 1,368,445)</t>
    </r>
  </si>
  <si>
    <r>
      <t>15-24 years:</t>
    </r>
    <r>
      <rPr>
        <sz val="14"/>
        <color rgb="FF000000"/>
        <rFont val="Arial"/>
        <family val="2"/>
      </rPr>
      <t> 18.13% (male 816,658/female 792,231)</t>
    </r>
  </si>
  <si>
    <r>
      <t>25-54 years:</t>
    </r>
    <r>
      <rPr>
        <sz val="14"/>
        <color rgb="FF000000"/>
        <rFont val="Arial"/>
        <family val="2"/>
      </rPr>
      <t> 40.58% (male 1,789,271/female 1,811,566)</t>
    </r>
  </si>
  <si>
    <r>
      <t>55-64 years:</t>
    </r>
    <r>
      <rPr>
        <sz val="14"/>
        <color rgb="FF000000"/>
        <rFont val="Arial"/>
        <family val="2"/>
      </rPr>
      <t> 6.23% (male 253,862/female 299,378)</t>
    </r>
  </si>
  <si>
    <r>
      <t>65 years and over:</t>
    </r>
    <r>
      <rPr>
        <sz val="14"/>
        <color rgb="FF000000"/>
        <rFont val="Arial"/>
        <family val="2"/>
      </rPr>
      <t> 3.63% (male 132,831/female 189,156) (2020 est.)</t>
    </r>
  </si>
  <si>
    <t>https://www.indexmundi.com/tajikistan/age_structure.html</t>
  </si>
  <si>
    <t>under 24 years</t>
  </si>
  <si>
    <t>Youth 49.56</t>
  </si>
  <si>
    <t xml:space="preserve">direct </t>
  </si>
  <si>
    <t>indirect</t>
  </si>
  <si>
    <t>Youth</t>
  </si>
  <si>
    <t>Total households</t>
  </si>
  <si>
    <t>k1</t>
  </si>
  <si>
    <t>Labour employed in 'backyard' nurseries</t>
  </si>
  <si>
    <t>k2</t>
  </si>
  <si>
    <t>v: A total of 80 FFS will be established in villages where opportunities for establishing value chain projects (Productive Alliances) have been identified.
Each FFS will be active during 4 to 5 years and will train two successive cohorts of 25 participants (4000 beneficiaries in total); at least 50% of the FSS participants will be women</t>
  </si>
  <si>
    <t xml:space="preserve">x: It is expected that 1600 hhs (8*200) hosueholds will benefit from dairy, and 2000 from the beef value chain investments and productive alliances </t>
  </si>
  <si>
    <t>CIG</t>
  </si>
  <si>
    <t xml:space="preserve">CIG production grants window one </t>
  </si>
  <si>
    <t>Market Linked CIGs Grants window 2</t>
  </si>
  <si>
    <t>z: A grant of an average of USD 30,000 wil be given to 110 Market linked CIGs with minimum membership of 20 indivdual entrepreneurs</t>
  </si>
  <si>
    <t>y: It is assumed that an average grant of USD 8000 (per hh 800) would be given to 1020 groups each of which have a membership of 10 households</t>
  </si>
  <si>
    <t xml:space="preserve">r: Two veterinarians per jamoat will cover 132 jamoats in the project area. It is assumed that each veterinarian will cover two villages with an estimated livetock owning population of 200 hosueholds per village thus reaching 52,800 households in the project districts. </t>
  </si>
  <si>
    <t>We will not include villages with less than 100 hosueholds so we are assuming an average of 300 hhs per village.</t>
  </si>
  <si>
    <t>n: It is assumed that 30% of 300 households in each of 300 villages where mechanization equipment is provided benefit from the scheme</t>
  </si>
  <si>
    <t>women</t>
  </si>
  <si>
    <t>Project area population</t>
  </si>
  <si>
    <t>People per HH based on the village data</t>
  </si>
  <si>
    <t>Country population</t>
  </si>
  <si>
    <t>Project Area population</t>
  </si>
  <si>
    <t>Direct Population</t>
  </si>
  <si>
    <t>Indirect population</t>
  </si>
  <si>
    <t>proption of country population</t>
  </si>
  <si>
    <t>proportion of project area</t>
  </si>
  <si>
    <t>indirect pop as proportion of country pop</t>
  </si>
  <si>
    <t>total as proportion of country population</t>
  </si>
  <si>
    <t>Made more aware about cliamte change (60% of the adult population)</t>
  </si>
  <si>
    <t>landholding</t>
  </si>
  <si>
    <t>Total Land in 400 villages</t>
  </si>
  <si>
    <t>Land per village</t>
  </si>
  <si>
    <t>Land per household</t>
  </si>
  <si>
    <t>In dunum</t>
  </si>
  <si>
    <t>animals per HH</t>
  </si>
  <si>
    <t>animals per hosuehold</t>
  </si>
  <si>
    <t>Livestock average</t>
  </si>
  <si>
    <t>small ruminants</t>
  </si>
  <si>
    <t>pop of tajikistan in HHs</t>
  </si>
  <si>
    <t>The total cattle population in the 400 targeted villages is estimated at 1 037 074 heads of cattle and 599 365 small ruminants. All these animals will benefit from improved animal health services. 10,000 cows will also be inseminated (twice) and 10,000 cows will be mated by improved bulls in off farm mating stations.</t>
  </si>
  <si>
    <t>400 target villages</t>
  </si>
  <si>
    <t>cattle</t>
  </si>
  <si>
    <t>heads of cattle in 400 villages</t>
  </si>
  <si>
    <t>Core Indicator 1: Greenhouse gas (GHG) emissions reduced, avoided or removed/sequestered</t>
  </si>
  <si>
    <t>Core indicator 2:  Direct and indirect beneficiaries reached</t>
  </si>
  <si>
    <t>tonnes of carbon dioxide equivalent</t>
  </si>
  <si>
    <t>number of individuals</t>
  </si>
  <si>
    <t>Supplementary indicator 2.2: Beneficiaries (female/male) with improved food security</t>
  </si>
  <si>
    <t>Core Indicator 3: Value of physical assets made more resilient to the effects of climate change and/or more able to reduce GHG emissions</t>
  </si>
  <si>
    <t>value of physical assets in USD</t>
  </si>
  <si>
    <t>Core Indicator 4: Hectares of natural resource areas brought under improved low-emission and/or climate-resilient management practices</t>
  </si>
  <si>
    <r>
      <rPr>
        <b/>
        <sz val="12"/>
        <color theme="1"/>
        <rFont val="Calibri"/>
        <family val="2"/>
        <scheme val="minor"/>
      </rPr>
      <t>Supplementary indicator 2.5</t>
    </r>
    <r>
      <rPr>
        <sz val="12"/>
        <color theme="1"/>
        <rFont val="Calibri"/>
        <family val="2"/>
        <scheme val="minor"/>
      </rPr>
      <t>:Beneficiaries (female/male) adopting innovations that strengthen climate change resilience</t>
    </r>
  </si>
  <si>
    <r>
      <rPr>
        <b/>
        <sz val="9"/>
        <color theme="1"/>
        <rFont val="Cambria"/>
        <family val="1"/>
      </rPr>
      <t>Supplementary indicator 4.1:</t>
    </r>
    <r>
      <rPr>
        <sz val="9"/>
        <color theme="1"/>
        <rFont val="Cambria"/>
        <family val="1"/>
      </rPr>
      <t xml:space="preserve"> Hectares of terrestrial forest, terrestrial non-forest, freshwater and coastal marine areas brought under restoration and/or improved ecosystems</t>
    </r>
  </si>
  <si>
    <r>
      <t xml:space="preserve">Supplementary indicator 4.2  : </t>
    </r>
    <r>
      <rPr>
        <sz val="9"/>
        <color theme="1"/>
        <rFont val="Cambria"/>
        <family val="1"/>
      </rPr>
      <t>Number of livestock brought under sustainable management practices</t>
    </r>
  </si>
  <si>
    <t>number of livestock</t>
  </si>
  <si>
    <r>
      <t xml:space="preserve">Core indicator 5: </t>
    </r>
    <r>
      <rPr>
        <sz val="11"/>
        <color theme="1"/>
        <rFont val="Cambria"/>
        <family val="1"/>
      </rPr>
      <t>Degree to which GCF investments contribute to strengthening institutional and regulatory frameworks for low-emission climate-resilient development pathways in a country-driven manner </t>
    </r>
  </si>
  <si>
    <r>
      <t xml:space="preserve">Core indicator 6: </t>
    </r>
    <r>
      <rPr>
        <sz val="11"/>
        <color theme="1"/>
        <rFont val="Cambria"/>
        <family val="1"/>
      </rPr>
      <t>Degree to which GCF investments contribute to technology deployment, dissemination, development or transfer and innovation;</t>
    </r>
  </si>
  <si>
    <t>Integrated Results Management Framework -CASP+</t>
  </si>
  <si>
    <t>Reference</t>
  </si>
  <si>
    <t>Annex 23</t>
  </si>
  <si>
    <t>Annex 24: Calaculation of Beneficiaries</t>
  </si>
  <si>
    <t xml:space="preserve">h: It is assumed that 80% of the 300 households in each of the 400  villages will benefit fromt the PMPs. The 21 plans are for cross district pastures that could also be identified. </t>
  </si>
  <si>
    <t>v: A total of 80 FFS will be established in villages where opportunities for establishing value chain projects (Productive Alliances) have been identified.</t>
  </si>
  <si>
    <t>Each FFS will be active during 4 to 5 years and will train two successive cohorts of 25 participants (4000 beneficiaries in total); at least 50% of the FSS participants will be women</t>
  </si>
  <si>
    <t>v: A total of 80 FFS will be established in villages where opportunities for establishing value chain projects (Productive Alliances) have been identified. Each FFS will be active during 4 to 5 years and will train two successive cohorts of 25 participants (4000 beneficiaries in total); at least 50% of the FSS participants will be women</t>
  </si>
  <si>
    <t>Annex 24 (Benefciary Sheet 1)</t>
  </si>
  <si>
    <t>m: It is assumed that of the 300 households in each of the 350 villages only 70% will benefit from the infrastructure schemes</t>
  </si>
  <si>
    <t>m: m: It is assumed that of the 300 households in each of the 350 villages only 70% will benefit from the infrastructure schemes</t>
  </si>
  <si>
    <t>(Annex 24 (Sheet CR SI 2.2)</t>
  </si>
  <si>
    <t>Supplementary indicator 2.5 : Beneficiaries (female/male) adopting innovations that strengthen climate change resilience</t>
  </si>
  <si>
    <t>Annex 24 (Sheet on CR2-SI 2.5)</t>
  </si>
  <si>
    <t>exact</t>
  </si>
  <si>
    <t>450 hectare per village puu</t>
  </si>
  <si>
    <t>Supplementary 2.1: Beneficiaries (female/male) adopting improved and/or new climate-resilient livelihood options.</t>
  </si>
  <si>
    <t>(Annex 24 (Sheet CR SI 2.1)</t>
  </si>
  <si>
    <t>See village data shet revised.</t>
  </si>
  <si>
    <t>Agriculture Land</t>
  </si>
  <si>
    <t>Livestock ownership</t>
  </si>
  <si>
    <t>hectare</t>
  </si>
  <si>
    <t>Value USD</t>
  </si>
  <si>
    <t>small ruminant</t>
  </si>
  <si>
    <t>large ruminant</t>
  </si>
  <si>
    <t>usd</t>
  </si>
  <si>
    <t>value of land</t>
  </si>
  <si>
    <t xml:space="preserve">The households targeted are expected to own on average 6 small and around 2.64 large animals. Thus, the project can assist in bringing under sustainable management practices around 863,000 animals. </t>
  </si>
  <si>
    <t>small units</t>
  </si>
  <si>
    <t>Livetsock onwership</t>
  </si>
  <si>
    <t>Large units</t>
  </si>
  <si>
    <t>Unit price</t>
  </si>
  <si>
    <t>Units</t>
  </si>
  <si>
    <t xml:space="preserve">a: Total cropped land in 400 villages is 77,416 hectare with around 193 hectares per village and average landholding of 0.77 ha per hosuehold. It is expected that 100,00 hosueholds will participate with average onership of 0.77 hectares hosueholds are expected to participate in the project activities it is assumed that around (77416*.7) hectares of land will be impacted by the project </t>
  </si>
  <si>
    <t>Hectare</t>
  </si>
  <si>
    <t>land benefitiing</t>
  </si>
  <si>
    <t>average land value</t>
  </si>
  <si>
    <t>Usd 3000</t>
  </si>
  <si>
    <t>b: Average livetsock ownership is 7 small ruminants and 2.64 large ruminants. It is assumed that hosuehols articipating have the following ownership</t>
  </si>
  <si>
    <t>(Annex 24 Sheet CR.4)</t>
  </si>
  <si>
    <t>(Annex 24, Sheet CR. 3)</t>
  </si>
  <si>
    <t>(Annex 24, Sheet on CR 3.)</t>
  </si>
  <si>
    <t>Medium</t>
  </si>
  <si>
    <t>Number (Total)</t>
  </si>
  <si>
    <t>Number (Women)</t>
  </si>
  <si>
    <t>Supplementary indicator 2.2: Beneficiaries (female/male) with improved food security </t>
  </si>
  <si>
    <t>17.4 poverty rate</t>
  </si>
  <si>
    <t>people who are food secure</t>
  </si>
  <si>
    <t>direct</t>
  </si>
  <si>
    <t>Kulob</t>
  </si>
  <si>
    <t>Baljuvon</t>
  </si>
  <si>
    <t>Qubodiyon</t>
  </si>
  <si>
    <t>N.Khusrav</t>
  </si>
  <si>
    <t>Ayni</t>
  </si>
  <si>
    <t xml:space="preserve"> Kuhistoni Mastchoh</t>
  </si>
  <si>
    <t xml:space="preserve">To avoid double counting (zz): </t>
  </si>
  <si>
    <t>zz: Under the assumption that about 90 - 95% of CIG members are also benefitting from PMPs and other CsCAP interventions</t>
  </si>
  <si>
    <t>b: It is expected that the capacity strengthening of the SEABAI will be useful in disseminating the AI and breeding services at the national level</t>
  </si>
  <si>
    <t>e: It is assumed that an additional 60% of the people in the 21 districts will benefit through the diagnostic on climate vulnerability through increased awareness and improved planning at district level</t>
  </si>
  <si>
    <t>-6,817,347 tCO 2 -eq over 27 years</t>
  </si>
  <si>
    <t>hhs or 343,200 individuals (51.5% women)</t>
  </si>
  <si>
    <t>hhs or 650,000 individuals (51.5% women)</t>
  </si>
  <si>
    <t xml:space="preserve">zz: Under the assumption that about 75% of the HHs exposed to the above innovation options are also adopting them.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</si>
</sst>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_-;\-* #,##0_-;_-* &quot;-&quot;_-;_-@_-"/>
    <numFmt numFmtId="43" formatCode="_-* #,##0.00_-;\-* #,##0.00_-;_-* &quot;-&quot;??_-;_-@_-"/>
    <numFmt numFmtId="164" formatCode="_(* #,##0_);_(* \(#,##0\);_(* &quot;-&quot;_);_(@_)"/>
    <numFmt numFmtId="165" formatCode="_(* #,##0.00_);_(* \(#,##0.00\);_(* &quot;-&quot;??_);_(@_)"/>
    <numFmt numFmtId="166" formatCode="_-* #,##0_-;\-* #,##0_-;_-* &quot;-&quot;??_-;_-@_-"/>
    <numFmt numFmtId="167" formatCode="_-[$$-409]* #,##0.00_ ;_-[$$-409]* \-#,##0.00\ ;_-[$$-409]* &quot;-&quot;??_ ;_-@_ "/>
    <numFmt numFmtId="168" formatCode="0.0"/>
    <numFmt numFmtId="169" formatCode="_(* #,##0_);_(* \(#,##0\);_(* &quot;-&quot;??_);_(@_)"/>
    <numFmt numFmtId="170" formatCode="_(* #,##0_);_(* \(#,##0\);_(* &quot;-&quot;?_);_(@_)"/>
    <numFmt numFmtId="171" formatCode="0.0%"/>
    <numFmt numFmtId="172" formatCode="_(* #,##0.0_);_(* \(#,##0.0\);_(* &quot;-&quot;?_);_(@_)"/>
    <numFmt numFmtId="173" formatCode="_(* #,##0.0_);_(* \(#,##0.0\);_(* &quot;-&quot;??_);_(@_)"/>
    <numFmt numFmtId="174" formatCode="_(* #,##0.000_);_(* \(#,##0.000\);_(* &quot;-&quot;???_);_(@_)"/>
  </numFmts>
  <fonts count="64" x14ac:knownFonts="1">
    <font>
      <sz val="12"/>
      <color theme="1"/>
      <name val="Calibri"/>
      <family val="2"/>
      <scheme val="minor"/>
    </font>
    <font>
      <sz val="12"/>
      <color theme="1"/>
      <name val="Calibri"/>
      <family val="2"/>
      <scheme val="minor"/>
    </font>
    <font>
      <b/>
      <sz val="12"/>
      <color theme="1"/>
      <name val="Calibri"/>
      <family val="2"/>
      <scheme val="minor"/>
    </font>
    <font>
      <b/>
      <sz val="12"/>
      <color rgb="FF000000"/>
      <name val="Calibri"/>
      <family val="2"/>
    </font>
    <font>
      <sz val="12"/>
      <color rgb="FF000000"/>
      <name val="Calibri"/>
      <family val="2"/>
    </font>
    <font>
      <sz val="12"/>
      <color rgb="FF222222"/>
      <name val="Calibri"/>
      <family val="2"/>
      <scheme val="minor"/>
    </font>
    <font>
      <i/>
      <sz val="11"/>
      <color rgb="FF222222"/>
      <name val="Calibri"/>
      <family val="2"/>
      <scheme val="minor"/>
    </font>
    <font>
      <sz val="11"/>
      <color rgb="FF222222"/>
      <name val="Calibri"/>
      <family val="2"/>
      <scheme val="minor"/>
    </font>
    <font>
      <i/>
      <sz val="12"/>
      <color rgb="FF000000"/>
      <name val="Calibri"/>
      <family val="2"/>
    </font>
    <font>
      <sz val="14"/>
      <color theme="1"/>
      <name val="Arial"/>
      <family val="2"/>
    </font>
    <font>
      <sz val="11"/>
      <color theme="1"/>
      <name val="Arial"/>
      <family val="2"/>
    </font>
    <font>
      <i/>
      <sz val="11"/>
      <color rgb="FF000000"/>
      <name val="Arial"/>
      <family val="2"/>
    </font>
    <font>
      <sz val="11"/>
      <color rgb="FF000000"/>
      <name val="Arial"/>
      <family val="2"/>
    </font>
    <font>
      <sz val="11"/>
      <color rgb="FF000000"/>
      <name val="Calibri"/>
      <family val="2"/>
      <scheme val="minor"/>
    </font>
    <font>
      <sz val="12"/>
      <color rgb="FF222222"/>
      <name val="Arial"/>
      <family val="2"/>
    </font>
    <font>
      <i/>
      <sz val="11"/>
      <color theme="1"/>
      <name val="Arial"/>
      <family val="2"/>
    </font>
    <font>
      <sz val="10"/>
      <color theme="1"/>
      <name val="Times New Roman"/>
      <family val="1"/>
      <charset val="204"/>
    </font>
    <font>
      <b/>
      <sz val="11"/>
      <color rgb="FF000000"/>
      <name val="Times New Roman"/>
      <family val="1"/>
      <charset val="204"/>
    </font>
    <font>
      <sz val="11"/>
      <color rgb="FF000000"/>
      <name val="Times New Roman"/>
      <family val="1"/>
      <charset val="204"/>
    </font>
    <font>
      <sz val="10"/>
      <name val="Times New Roman"/>
      <family val="1"/>
      <charset val="204"/>
    </font>
    <font>
      <b/>
      <sz val="10"/>
      <name val="Times New Roman"/>
      <family val="1"/>
      <charset val="204"/>
    </font>
    <font>
      <sz val="11"/>
      <color rgb="FF000000"/>
      <name val="Calibri"/>
      <family val="2"/>
      <charset val="204"/>
      <scheme val="minor"/>
    </font>
    <font>
      <b/>
      <sz val="12"/>
      <color rgb="FF000000"/>
      <name val="Calibri"/>
      <family val="2"/>
      <charset val="204"/>
      <scheme val="minor"/>
    </font>
    <font>
      <b/>
      <sz val="11"/>
      <color rgb="FF000000"/>
      <name val="Calibri"/>
      <family val="2"/>
      <charset val="204"/>
      <scheme val="minor"/>
    </font>
    <font>
      <sz val="11"/>
      <name val="Times New Roman"/>
      <family val="1"/>
      <charset val="204"/>
    </font>
    <font>
      <sz val="11"/>
      <name val="Calibri"/>
      <family val="2"/>
      <charset val="204"/>
      <scheme val="minor"/>
    </font>
    <font>
      <b/>
      <sz val="14"/>
      <color rgb="FF000000"/>
      <name val="Calibri"/>
      <family val="2"/>
      <scheme val="minor"/>
    </font>
    <font>
      <b/>
      <sz val="11"/>
      <color rgb="FF000000"/>
      <name val="Calibri"/>
      <family val="2"/>
      <scheme val="minor"/>
    </font>
    <font>
      <b/>
      <sz val="12"/>
      <color rgb="FF000000"/>
      <name val="Calibri"/>
      <family val="2"/>
      <scheme val="minor"/>
    </font>
    <font>
      <sz val="12"/>
      <color rgb="FF000000"/>
      <name val="Calibri Light"/>
      <family val="1"/>
    </font>
    <font>
      <b/>
      <sz val="12"/>
      <color rgb="FF000000"/>
      <name val="Calibri Light"/>
      <family val="1"/>
    </font>
    <font>
      <b/>
      <sz val="12"/>
      <color rgb="FFFF0000"/>
      <name val="Calibri"/>
      <family val="2"/>
      <scheme val="minor"/>
    </font>
    <font>
      <sz val="12"/>
      <color rgb="FFFF0000"/>
      <name val="Calibri"/>
      <family val="2"/>
      <scheme val="minor"/>
    </font>
    <font>
      <sz val="12"/>
      <color theme="9" tint="-0.249977111117893"/>
      <name val="Calibri"/>
      <family val="2"/>
      <scheme val="minor"/>
    </font>
    <font>
      <b/>
      <sz val="11"/>
      <color theme="1"/>
      <name val="Arial"/>
      <family val="2"/>
    </font>
    <font>
      <sz val="8"/>
      <color theme="1"/>
      <name val="Calibri"/>
      <family val="2"/>
      <scheme val="minor"/>
    </font>
    <font>
      <sz val="12"/>
      <color rgb="FF000000"/>
      <name val="Calibri"/>
      <family val="2"/>
      <scheme val="minor"/>
    </font>
    <font>
      <i/>
      <sz val="8"/>
      <color theme="1"/>
      <name val="Arial"/>
      <family val="2"/>
    </font>
    <font>
      <sz val="11"/>
      <color theme="1"/>
      <name val="Cambria"/>
      <family val="1"/>
    </font>
    <font>
      <b/>
      <sz val="9"/>
      <color rgb="FF000000"/>
      <name val="Arial"/>
      <family val="2"/>
    </font>
    <font>
      <b/>
      <sz val="9"/>
      <color theme="1"/>
      <name val="Arial"/>
      <family val="2"/>
    </font>
    <font>
      <i/>
      <sz val="12"/>
      <color theme="1"/>
      <name val="Arial"/>
      <family val="2"/>
    </font>
    <font>
      <b/>
      <sz val="10"/>
      <color rgb="FF24634F"/>
      <name val="Arial"/>
      <family val="2"/>
    </font>
    <font>
      <sz val="10"/>
      <color rgb="FF000000"/>
      <name val="Arial"/>
      <family val="2"/>
    </font>
    <font>
      <sz val="10"/>
      <color theme="1"/>
      <name val="Arial"/>
      <family val="2"/>
    </font>
    <font>
      <sz val="10"/>
      <color rgb="FF808080"/>
      <name val="Arial"/>
      <family val="2"/>
    </font>
    <font>
      <i/>
      <sz val="10"/>
      <color theme="1"/>
      <name val="Arial"/>
      <family val="2"/>
    </font>
    <font>
      <b/>
      <sz val="12"/>
      <color rgb="FF24634F"/>
      <name val="Arial"/>
      <family val="2"/>
    </font>
    <font>
      <sz val="8"/>
      <color rgb="FF000000"/>
      <name val="Arial"/>
      <family val="2"/>
    </font>
    <font>
      <sz val="8"/>
      <color theme="1"/>
      <name val="Arial"/>
      <family val="2"/>
    </font>
    <font>
      <i/>
      <sz val="8"/>
      <color rgb="FF000000"/>
      <name val="Arial"/>
      <family val="2"/>
    </font>
    <font>
      <b/>
      <i/>
      <sz val="8"/>
      <color rgb="FF000000"/>
      <name val="Arial"/>
      <family val="2"/>
    </font>
    <font>
      <i/>
      <sz val="12"/>
      <color rgb="FF000000"/>
      <name val="Calibri"/>
      <family val="2"/>
      <scheme val="minor"/>
    </font>
    <font>
      <i/>
      <sz val="12"/>
      <color theme="1"/>
      <name val="Calibri"/>
      <family val="2"/>
      <scheme val="minor"/>
    </font>
    <font>
      <b/>
      <sz val="10"/>
      <color rgb="FF808080"/>
      <name val="Arial"/>
      <family val="2"/>
    </font>
    <font>
      <sz val="11"/>
      <color rgb="FF2E3C57"/>
      <name val="Arial"/>
      <family val="2"/>
    </font>
    <font>
      <sz val="14"/>
      <color rgb="FF000000"/>
      <name val="Arial"/>
      <family val="2"/>
    </font>
    <font>
      <b/>
      <sz val="14"/>
      <color rgb="FF000000"/>
      <name val="Arial"/>
      <family val="2"/>
    </font>
    <font>
      <sz val="11"/>
      <color theme="1"/>
      <name val="Calibri"/>
      <family val="2"/>
      <scheme val="minor"/>
    </font>
    <font>
      <sz val="9"/>
      <color theme="1"/>
      <name val="Cambria"/>
      <family val="1"/>
    </font>
    <font>
      <b/>
      <sz val="9"/>
      <color theme="1"/>
      <name val="Cambria"/>
      <family val="1"/>
    </font>
    <font>
      <sz val="12"/>
      <color theme="1"/>
      <name val="Cambria"/>
      <family val="1"/>
    </font>
    <font>
      <b/>
      <sz val="11"/>
      <color theme="1"/>
      <name val="Cambria"/>
      <family val="1"/>
    </font>
    <font>
      <sz val="12"/>
      <color theme="1"/>
      <name val="Times New Roman"/>
      <family val="1"/>
    </font>
  </fonts>
  <fills count="24">
    <fill>
      <patternFill patternType="none"/>
    </fill>
    <fill>
      <patternFill patternType="gray125"/>
    </fill>
    <fill>
      <patternFill patternType="solid">
        <fgColor rgb="FFA9D18E"/>
        <bgColor indexed="64"/>
      </patternFill>
    </fill>
    <fill>
      <patternFill patternType="solid">
        <fgColor rgb="FFE2F0D9"/>
        <bgColor indexed="64"/>
      </patternFill>
    </fill>
    <fill>
      <patternFill patternType="solid">
        <fgColor rgb="FFC5E0B4"/>
        <bgColor indexed="64"/>
      </patternFill>
    </fill>
    <fill>
      <patternFill patternType="solid">
        <fgColor rgb="FF9DC3E6"/>
        <bgColor indexed="64"/>
      </patternFill>
    </fill>
    <fill>
      <patternFill patternType="solid">
        <fgColor rgb="FFDEEBF7"/>
        <bgColor indexed="64"/>
      </patternFill>
    </fill>
    <fill>
      <patternFill patternType="solid">
        <fgColor rgb="FFBDD7EE"/>
        <bgColor indexed="64"/>
      </patternFill>
    </fill>
    <fill>
      <patternFill patternType="solid">
        <fgColor theme="9"/>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FFFF00"/>
        <bgColor rgb="FF000000"/>
      </patternFill>
    </fill>
    <fill>
      <patternFill patternType="solid">
        <fgColor rgb="FFFFFFFF"/>
        <bgColor rgb="FF000000"/>
      </patternFill>
    </fill>
    <fill>
      <patternFill patternType="solid">
        <fgColor rgb="FFE26B0A"/>
        <bgColor rgb="FF000000"/>
      </patternFill>
    </fill>
    <fill>
      <patternFill patternType="solid">
        <fgColor rgb="FFDDD9C4"/>
        <bgColor rgb="FF000000"/>
      </patternFill>
    </fill>
    <fill>
      <patternFill patternType="solid">
        <fgColor rgb="FFDCE6F1"/>
        <bgColor rgb="FF000000"/>
      </patternFill>
    </fill>
    <fill>
      <patternFill patternType="solid">
        <fgColor rgb="FFC9C9C9"/>
        <bgColor rgb="FF000000"/>
      </patternFill>
    </fill>
    <fill>
      <patternFill patternType="solid">
        <fgColor rgb="FFD6DCE4"/>
        <bgColor rgb="FF000000"/>
      </patternFill>
    </fill>
    <fill>
      <patternFill patternType="solid">
        <fgColor rgb="FFF2F2F2"/>
        <bgColor indexed="64"/>
      </patternFill>
    </fill>
    <fill>
      <patternFill patternType="solid">
        <fgColor rgb="FFFFFFFF"/>
        <bgColor indexed="64"/>
      </patternFill>
    </fill>
    <fill>
      <patternFill patternType="solid">
        <fgColor theme="0" tint="-0.14999847407452621"/>
        <bgColor indexed="64"/>
      </patternFill>
    </fill>
    <fill>
      <patternFill patternType="solid">
        <fgColor rgb="FFFFFF00"/>
        <bgColor indexed="64"/>
      </patternFill>
    </fill>
  </fills>
  <borders count="24">
    <border>
      <left/>
      <right/>
      <top/>
      <bottom/>
      <diagonal/>
    </border>
    <border>
      <left style="medium">
        <color rgb="FFFFFFFF"/>
      </left>
      <right style="medium">
        <color rgb="FFFFFFFF"/>
      </right>
      <top style="medium">
        <color rgb="FFFFFFFF"/>
      </top>
      <bottom style="medium">
        <color rgb="FFFFFFFF"/>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41" fontId="1" fillId="0" borderId="0" applyFont="0" applyFill="0" applyBorder="0" applyAlignment="0" applyProtection="0"/>
  </cellStyleXfs>
  <cellXfs count="305">
    <xf numFmtId="0" fontId="0" fillId="0" borderId="0" xfId="0"/>
    <xf numFmtId="0" fontId="3" fillId="2" borderId="1" xfId="0" applyFont="1" applyFill="1" applyBorder="1" applyAlignment="1">
      <alignment horizontal="left" wrapText="1" readingOrder="1"/>
    </xf>
    <xf numFmtId="0" fontId="3" fillId="5" borderId="1" xfId="0" applyFont="1" applyFill="1" applyBorder="1" applyAlignment="1">
      <alignment horizontal="left" wrapText="1" readingOrder="1"/>
    </xf>
    <xf numFmtId="0" fontId="5" fillId="0" borderId="0" xfId="0" applyFont="1"/>
    <xf numFmtId="164" fontId="0" fillId="0" borderId="0" xfId="1" applyFont="1"/>
    <xf numFmtId="9" fontId="0" fillId="0" borderId="0" xfId="2" applyFont="1"/>
    <xf numFmtId="0" fontId="6" fillId="0" borderId="0" xfId="0" applyFont="1"/>
    <xf numFmtId="0" fontId="8" fillId="0" borderId="0" xfId="0" applyFont="1"/>
    <xf numFmtId="3" fontId="0" fillId="0" borderId="0" xfId="0" applyNumberFormat="1"/>
    <xf numFmtId="0" fontId="7" fillId="0" borderId="0" xfId="0" applyFont="1"/>
    <xf numFmtId="0" fontId="9" fillId="0" borderId="0" xfId="0" applyFont="1"/>
    <xf numFmtId="9" fontId="0" fillId="0" borderId="0" xfId="0" applyNumberFormat="1"/>
    <xf numFmtId="0" fontId="0" fillId="0" borderId="0" xfId="0" applyAlignment="1">
      <alignment horizontal="center"/>
    </xf>
    <xf numFmtId="0" fontId="2" fillId="0" borderId="0" xfId="0" applyFont="1"/>
    <xf numFmtId="0" fontId="10" fillId="0" borderId="0" xfId="0" applyFont="1" applyAlignment="1">
      <alignment horizontal="left" wrapText="1" indent="4"/>
    </xf>
    <xf numFmtId="0" fontId="11" fillId="0" borderId="0" xfId="0" applyFont="1" applyAlignment="1">
      <alignment horizontal="left" vertical="center" wrapText="1" indent="2"/>
    </xf>
    <xf numFmtId="0" fontId="11" fillId="0" borderId="0" xfId="0" applyFont="1" applyAlignment="1">
      <alignment horizontal="left" vertical="center" wrapText="1" indent="4"/>
    </xf>
    <xf numFmtId="0" fontId="4" fillId="0" borderId="1" xfId="0" applyFont="1" applyBorder="1" applyAlignment="1">
      <alignment horizontal="left" wrapText="1" indent="4" readingOrder="1"/>
    </xf>
    <xf numFmtId="0" fontId="4" fillId="4" borderId="1" xfId="0" applyFont="1" applyFill="1" applyBorder="1" applyAlignment="1">
      <alignment horizontal="left" wrapText="1" readingOrder="1"/>
    </xf>
    <xf numFmtId="0" fontId="4" fillId="3" borderId="1" xfId="0" applyFont="1" applyFill="1" applyBorder="1" applyAlignment="1">
      <alignment horizontal="left" wrapText="1" readingOrder="1"/>
    </xf>
    <xf numFmtId="0" fontId="12" fillId="0" borderId="0" xfId="0" applyFont="1" applyAlignment="1">
      <alignment horizontal="left" vertical="center" wrapText="1" indent="1"/>
    </xf>
    <xf numFmtId="0" fontId="3" fillId="8" borderId="1" xfId="0" applyFont="1" applyFill="1" applyBorder="1" applyAlignment="1">
      <alignment horizontal="left" wrapText="1" readingOrder="1"/>
    </xf>
    <xf numFmtId="0" fontId="11" fillId="0" borderId="0" xfId="0" applyFont="1" applyAlignment="1">
      <alignment wrapText="1"/>
    </xf>
    <xf numFmtId="0" fontId="11" fillId="0" borderId="0" xfId="0" applyFont="1" applyAlignment="1">
      <alignment horizontal="left" wrapText="1" indent="3"/>
    </xf>
    <xf numFmtId="0" fontId="4" fillId="9" borderId="1" xfId="0" applyFont="1" applyFill="1" applyBorder="1" applyAlignment="1">
      <alignment horizontal="left" vertical="top" wrapText="1" readingOrder="1"/>
    </xf>
    <xf numFmtId="0" fontId="4" fillId="9" borderId="1" xfId="0" applyFont="1" applyFill="1" applyBorder="1" applyAlignment="1">
      <alignment horizontal="left" wrapText="1" readingOrder="1"/>
    </xf>
    <xf numFmtId="0" fontId="4" fillId="0" borderId="1" xfId="0" applyFont="1" applyBorder="1" applyAlignment="1">
      <alignment horizontal="left" wrapText="1" indent="2" readingOrder="1"/>
    </xf>
    <xf numFmtId="0" fontId="13" fillId="0" borderId="0" xfId="0" applyFont="1"/>
    <xf numFmtId="0" fontId="13" fillId="0" borderId="0" xfId="0" applyFont="1" applyAlignment="1">
      <alignment horizontal="left"/>
    </xf>
    <xf numFmtId="166" fontId="13" fillId="0" borderId="0" xfId="0" applyNumberFormat="1" applyFont="1"/>
    <xf numFmtId="43" fontId="13" fillId="0" borderId="0" xfId="0" applyNumberFormat="1" applyFont="1"/>
    <xf numFmtId="9" fontId="13" fillId="0" borderId="0" xfId="0" applyNumberFormat="1" applyFont="1"/>
    <xf numFmtId="167" fontId="13" fillId="0" borderId="0" xfId="0" applyNumberFormat="1" applyFont="1"/>
    <xf numFmtId="1" fontId="0" fillId="0" borderId="0" xfId="0" applyNumberFormat="1"/>
    <xf numFmtId="1" fontId="13" fillId="0" borderId="0" xfId="0" applyNumberFormat="1" applyFont="1"/>
    <xf numFmtId="168" fontId="0" fillId="0" borderId="0" xfId="0" applyNumberFormat="1"/>
    <xf numFmtId="165" fontId="0" fillId="0" borderId="0" xfId="0" applyNumberFormat="1"/>
    <xf numFmtId="169" fontId="0" fillId="0" borderId="0" xfId="0" applyNumberFormat="1"/>
    <xf numFmtId="170" fontId="0" fillId="0" borderId="0" xfId="0" applyNumberFormat="1"/>
    <xf numFmtId="0" fontId="14" fillId="0" borderId="0" xfId="0" applyFont="1"/>
    <xf numFmtId="0" fontId="4" fillId="6" borderId="1" xfId="0" applyFont="1" applyFill="1" applyBorder="1" applyAlignment="1">
      <alignment horizontal="left" vertical="top" wrapText="1" readingOrder="1"/>
    </xf>
    <xf numFmtId="0" fontId="4" fillId="7" borderId="1" xfId="0" applyFont="1" applyFill="1" applyBorder="1" applyAlignment="1">
      <alignment horizontal="left" vertical="top" wrapText="1" readingOrder="1"/>
    </xf>
    <xf numFmtId="164" fontId="0" fillId="0" borderId="0" xfId="0" applyNumberFormat="1"/>
    <xf numFmtId="0" fontId="16" fillId="10" borderId="2" xfId="0" applyFont="1" applyFill="1" applyBorder="1" applyAlignment="1">
      <alignment horizontal="center" vertical="center" wrapText="1"/>
    </xf>
    <xf numFmtId="0" fontId="16" fillId="11" borderId="2" xfId="0" applyFont="1" applyFill="1" applyBorder="1" applyAlignment="1">
      <alignment horizontal="center" vertical="center" wrapText="1"/>
    </xf>
    <xf numFmtId="0" fontId="16" fillId="12" borderId="2" xfId="0" applyFont="1" applyFill="1" applyBorder="1" applyAlignment="1">
      <alignment horizontal="center" vertical="center" wrapText="1"/>
    </xf>
    <xf numFmtId="0" fontId="16" fillId="0" borderId="2" xfId="0" applyFont="1" applyBorder="1" applyAlignment="1">
      <alignment horizontal="center"/>
    </xf>
    <xf numFmtId="0" fontId="16" fillId="0" borderId="2" xfId="0" applyFont="1" applyBorder="1" applyAlignment="1">
      <alignment horizontal="left"/>
    </xf>
    <xf numFmtId="0" fontId="16" fillId="0" borderId="2" xfId="0" applyFont="1" applyBorder="1"/>
    <xf numFmtId="0" fontId="16" fillId="0" borderId="2" xfId="0" applyFont="1" applyBorder="1" applyAlignment="1">
      <alignment horizontal="center" vertical="top"/>
    </xf>
    <xf numFmtId="0" fontId="0" fillId="0" borderId="2" xfId="0" applyBorder="1" applyAlignment="1">
      <alignment horizontal="center"/>
    </xf>
    <xf numFmtId="0" fontId="0" fillId="0" borderId="2" xfId="0" applyBorder="1"/>
    <xf numFmtId="9" fontId="0" fillId="0" borderId="0" xfId="1" applyNumberFormat="1" applyFont="1"/>
    <xf numFmtId="0" fontId="2" fillId="0" borderId="0" xfId="0" applyFont="1" applyAlignment="1">
      <alignment horizontal="center" wrapText="1"/>
    </xf>
    <xf numFmtId="0" fontId="0" fillId="0" borderId="3" xfId="0" applyBorder="1"/>
    <xf numFmtId="164" fontId="0" fillId="0" borderId="2" xfId="1" applyFont="1" applyBorder="1" applyAlignment="1">
      <alignment horizontal="center"/>
    </xf>
    <xf numFmtId="0" fontId="18" fillId="0" borderId="9" xfId="0" applyFont="1" applyBorder="1" applyAlignment="1">
      <alignment horizontal="left" vertical="center"/>
    </xf>
    <xf numFmtId="0" fontId="18" fillId="0" borderId="9" xfId="0" applyFont="1" applyBorder="1" applyAlignment="1">
      <alignment horizontal="center" vertical="center" wrapText="1"/>
    </xf>
    <xf numFmtId="0" fontId="18" fillId="0" borderId="6" xfId="0" applyFont="1" applyBorder="1" applyAlignment="1">
      <alignment horizontal="center"/>
    </xf>
    <xf numFmtId="0" fontId="18" fillId="0" borderId="9" xfId="0" applyFont="1" applyBorder="1" applyAlignment="1">
      <alignment horizontal="center"/>
    </xf>
    <xf numFmtId="0" fontId="19" fillId="0" borderId="9" xfId="0" applyFont="1" applyBorder="1" applyAlignment="1">
      <alignment horizontal="left" vertical="top" wrapText="1"/>
    </xf>
    <xf numFmtId="0" fontId="18" fillId="0" borderId="9" xfId="0" applyFont="1" applyBorder="1"/>
    <xf numFmtId="0" fontId="18" fillId="0" borderId="0" xfId="0" applyFont="1"/>
    <xf numFmtId="0" fontId="19" fillId="0" borderId="9" xfId="0" applyFont="1" applyBorder="1" applyAlignment="1">
      <alignment vertical="top" wrapText="1"/>
    </xf>
    <xf numFmtId="0" fontId="18" fillId="0" borderId="8" xfId="0" applyFont="1" applyBorder="1"/>
    <xf numFmtId="0" fontId="17" fillId="13" borderId="9" xfId="0" applyFont="1" applyFill="1" applyBorder="1"/>
    <xf numFmtId="0" fontId="19" fillId="0" borderId="9" xfId="0" applyFont="1" applyBorder="1"/>
    <xf numFmtId="0" fontId="19" fillId="14" borderId="6" xfId="0" applyFont="1" applyFill="1" applyBorder="1" applyAlignment="1">
      <alignment horizontal="center"/>
    </xf>
    <xf numFmtId="0" fontId="19" fillId="14" borderId="9" xfId="0" applyFont="1" applyFill="1" applyBorder="1" applyAlignment="1">
      <alignment horizontal="center"/>
    </xf>
    <xf numFmtId="0" fontId="19" fillId="14" borderId="9" xfId="0" applyFont="1" applyFill="1" applyBorder="1" applyAlignment="1">
      <alignment horizontal="left"/>
    </xf>
    <xf numFmtId="0" fontId="19" fillId="14" borderId="6" xfId="0" applyFont="1" applyFill="1" applyBorder="1" applyAlignment="1">
      <alignment horizontal="center" wrapText="1"/>
    </xf>
    <xf numFmtId="0" fontId="19" fillId="14" borderId="9" xfId="0" applyFont="1" applyFill="1" applyBorder="1" applyAlignment="1">
      <alignment horizontal="center" wrapText="1"/>
    </xf>
    <xf numFmtId="0" fontId="19" fillId="14" borderId="9" xfId="0" applyFont="1" applyFill="1" applyBorder="1" applyAlignment="1">
      <alignment horizontal="left" wrapText="1"/>
    </xf>
    <xf numFmtId="0" fontId="19" fillId="0" borderId="9" xfId="0" applyFont="1" applyBorder="1" applyAlignment="1">
      <alignment wrapText="1"/>
    </xf>
    <xf numFmtId="0" fontId="19" fillId="15" borderId="6" xfId="0" applyFont="1" applyFill="1" applyBorder="1" applyAlignment="1">
      <alignment horizontal="center" wrapText="1"/>
    </xf>
    <xf numFmtId="0" fontId="19" fillId="15" borderId="9" xfId="0" applyFont="1" applyFill="1" applyBorder="1" applyAlignment="1">
      <alignment horizontal="center" wrapText="1"/>
    </xf>
    <xf numFmtId="0" fontId="19" fillId="15" borderId="9" xfId="0" applyFont="1" applyFill="1" applyBorder="1" applyAlignment="1">
      <alignment wrapText="1"/>
    </xf>
    <xf numFmtId="0" fontId="18" fillId="15" borderId="9" xfId="0" applyFont="1" applyFill="1" applyBorder="1"/>
    <xf numFmtId="164" fontId="17" fillId="0" borderId="9" xfId="0" applyNumberFormat="1" applyFont="1" applyBorder="1"/>
    <xf numFmtId="0" fontId="21" fillId="0" borderId="0" xfId="0" applyFont="1"/>
    <xf numFmtId="0" fontId="17" fillId="0" borderId="2" xfId="0" applyFont="1" applyBorder="1" applyAlignment="1">
      <alignment horizontal="center"/>
    </xf>
    <xf numFmtId="0" fontId="21" fillId="0" borderId="0" xfId="0" applyFont="1" applyAlignment="1">
      <alignment horizontal="center"/>
    </xf>
    <xf numFmtId="0" fontId="17" fillId="0" borderId="8" xfId="0" applyFont="1" applyBorder="1" applyAlignment="1">
      <alignment horizontal="center"/>
    </xf>
    <xf numFmtId="0" fontId="21" fillId="0" borderId="6" xfId="0" applyFont="1" applyBorder="1"/>
    <xf numFmtId="0" fontId="23" fillId="0" borderId="6" xfId="0" applyFont="1" applyBorder="1" applyAlignment="1">
      <alignment horizontal="center"/>
    </xf>
    <xf numFmtId="0" fontId="17" fillId="0" borderId="9" xfId="0" applyFont="1" applyBorder="1" applyAlignment="1">
      <alignment horizontal="center"/>
    </xf>
    <xf numFmtId="0" fontId="21" fillId="0" borderId="8" xfId="0" applyFont="1" applyBorder="1"/>
    <xf numFmtId="0" fontId="18" fillId="0" borderId="2" xfId="0" applyFont="1" applyBorder="1"/>
    <xf numFmtId="0" fontId="21" fillId="0" borderId="9" xfId="0" applyFont="1" applyBorder="1"/>
    <xf numFmtId="0" fontId="18" fillId="16" borderId="6" xfId="0" applyFont="1" applyFill="1" applyBorder="1" applyAlignment="1">
      <alignment horizontal="center"/>
    </xf>
    <xf numFmtId="0" fontId="18" fillId="16" borderId="9" xfId="0" applyFont="1" applyFill="1" applyBorder="1" applyAlignment="1">
      <alignment horizontal="center"/>
    </xf>
    <xf numFmtId="0" fontId="19" fillId="16" borderId="9" xfId="0" applyFont="1" applyFill="1" applyBorder="1" applyAlignment="1">
      <alignment horizontal="left" vertical="top" wrapText="1"/>
    </xf>
    <xf numFmtId="0" fontId="18" fillId="16" borderId="9" xfId="0" applyFont="1" applyFill="1" applyBorder="1"/>
    <xf numFmtId="0" fontId="21" fillId="16" borderId="0" xfId="0" applyFont="1" applyFill="1"/>
    <xf numFmtId="0" fontId="18" fillId="16" borderId="6" xfId="0" applyFont="1" applyFill="1" applyBorder="1"/>
    <xf numFmtId="0" fontId="21" fillId="16" borderId="9" xfId="0" applyFont="1" applyFill="1" applyBorder="1"/>
    <xf numFmtId="0" fontId="18" fillId="16" borderId="8" xfId="0" applyFont="1" applyFill="1" applyBorder="1"/>
    <xf numFmtId="0" fontId="17" fillId="0" borderId="9" xfId="0" applyFont="1" applyBorder="1"/>
    <xf numFmtId="0" fontId="19" fillId="17" borderId="6" xfId="0" applyFont="1" applyFill="1" applyBorder="1" applyAlignment="1">
      <alignment horizontal="center" wrapText="1"/>
    </xf>
    <xf numFmtId="0" fontId="19" fillId="17" borderId="9" xfId="0" applyFont="1" applyFill="1" applyBorder="1" applyAlignment="1">
      <alignment horizontal="center" wrapText="1"/>
    </xf>
    <xf numFmtId="0" fontId="19" fillId="17" borderId="9" xfId="0" applyFont="1" applyFill="1" applyBorder="1"/>
    <xf numFmtId="0" fontId="18" fillId="17" borderId="9" xfId="0" applyFont="1" applyFill="1" applyBorder="1"/>
    <xf numFmtId="0" fontId="21" fillId="17" borderId="9" xfId="0" applyFont="1" applyFill="1" applyBorder="1"/>
    <xf numFmtId="0" fontId="21" fillId="17" borderId="0" xfId="0" applyFont="1" applyFill="1" applyAlignment="1">
      <alignment wrapText="1"/>
    </xf>
    <xf numFmtId="0" fontId="19" fillId="17" borderId="9" xfId="0" applyFont="1" applyFill="1" applyBorder="1" applyAlignment="1">
      <alignment wrapText="1"/>
    </xf>
    <xf numFmtId="0" fontId="24" fillId="17" borderId="9" xfId="0" applyFont="1" applyFill="1" applyBorder="1"/>
    <xf numFmtId="0" fontId="25" fillId="17" borderId="9" xfId="0" applyFont="1" applyFill="1" applyBorder="1"/>
    <xf numFmtId="0" fontId="25" fillId="17" borderId="0" xfId="0" applyFont="1" applyFill="1"/>
    <xf numFmtId="0" fontId="21" fillId="17" borderId="0" xfId="0" applyFont="1" applyFill="1"/>
    <xf numFmtId="0" fontId="19" fillId="13" borderId="6" xfId="0" applyFont="1" applyFill="1" applyBorder="1" applyAlignment="1">
      <alignment horizontal="center" wrapText="1"/>
    </xf>
    <xf numFmtId="0" fontId="19" fillId="13" borderId="9" xfId="0" applyFont="1" applyFill="1" applyBorder="1" applyAlignment="1">
      <alignment horizontal="center" wrapText="1"/>
    </xf>
    <xf numFmtId="0" fontId="19" fillId="13" borderId="9" xfId="0" applyFont="1" applyFill="1" applyBorder="1"/>
    <xf numFmtId="0" fontId="18" fillId="13" borderId="9" xfId="0" applyFont="1" applyFill="1" applyBorder="1"/>
    <xf numFmtId="0" fontId="21" fillId="13" borderId="9" xfId="0" applyFont="1" applyFill="1" applyBorder="1"/>
    <xf numFmtId="0" fontId="18" fillId="13" borderId="6" xfId="0" applyFont="1" applyFill="1" applyBorder="1" applyAlignment="1">
      <alignment horizontal="center"/>
    </xf>
    <xf numFmtId="0" fontId="18" fillId="13" borderId="9" xfId="0" applyFont="1" applyFill="1" applyBorder="1" applyAlignment="1">
      <alignment horizontal="center"/>
    </xf>
    <xf numFmtId="0" fontId="26" fillId="18" borderId="2" xfId="0" applyFont="1" applyFill="1" applyBorder="1" applyAlignment="1">
      <alignment horizontal="center"/>
    </xf>
    <xf numFmtId="0" fontId="26" fillId="18" borderId="8" xfId="0" applyFont="1" applyFill="1" applyBorder="1" applyAlignment="1">
      <alignment horizontal="center"/>
    </xf>
    <xf numFmtId="0" fontId="26" fillId="18" borderId="8" xfId="0" applyFont="1" applyFill="1" applyBorder="1"/>
    <xf numFmtId="0" fontId="13" fillId="0" borderId="9" xfId="0" applyFont="1" applyBorder="1" applyAlignment="1">
      <alignment horizontal="center" vertical="center"/>
    </xf>
    <xf numFmtId="0" fontId="13" fillId="0" borderId="9" xfId="0" applyFont="1" applyBorder="1"/>
    <xf numFmtId="0" fontId="13" fillId="19" borderId="9" xfId="0" applyFont="1" applyFill="1" applyBorder="1"/>
    <xf numFmtId="0" fontId="28" fillId="13" borderId="9" xfId="0" applyFont="1" applyFill="1" applyBorder="1"/>
    <xf numFmtId="0" fontId="30" fillId="0" borderId="8" xfId="0" applyFont="1" applyBorder="1" applyAlignment="1">
      <alignment horizontal="right"/>
    </xf>
    <xf numFmtId="0" fontId="30" fillId="0" borderId="9" xfId="0" applyFont="1" applyBorder="1" applyAlignment="1">
      <alignment horizontal="right"/>
    </xf>
    <xf numFmtId="1" fontId="30" fillId="0" borderId="9" xfId="0" applyNumberFormat="1" applyFont="1" applyBorder="1" applyAlignment="1">
      <alignment horizontal="right"/>
    </xf>
    <xf numFmtId="0" fontId="0" fillId="0" borderId="0" xfId="0" applyAlignment="1">
      <alignment wrapText="1"/>
    </xf>
    <xf numFmtId="14" fontId="0" fillId="0" borderId="0" xfId="0" applyNumberFormat="1"/>
    <xf numFmtId="0" fontId="0" fillId="0" borderId="0" xfId="0" applyAlignment="1">
      <alignment vertical="center" wrapText="1"/>
    </xf>
    <xf numFmtId="0" fontId="4" fillId="0" borderId="0" xfId="0" applyFont="1" applyAlignment="1">
      <alignment horizontal="left" vertical="top" wrapText="1" indent="3" readingOrder="1"/>
    </xf>
    <xf numFmtId="164" fontId="2" fillId="0" borderId="3" xfId="1" applyFont="1" applyBorder="1"/>
    <xf numFmtId="164" fontId="2" fillId="0" borderId="4" xfId="1" applyFont="1" applyBorder="1"/>
    <xf numFmtId="0" fontId="2" fillId="0" borderId="0" xfId="0" applyFont="1" applyAlignment="1">
      <alignment horizontal="center"/>
    </xf>
    <xf numFmtId="0" fontId="10" fillId="0" borderId="0" xfId="0" applyFont="1" applyAlignment="1">
      <alignment horizontal="left" indent="4"/>
    </xf>
    <xf numFmtId="164" fontId="2" fillId="0" borderId="0" xfId="1" applyFont="1" applyBorder="1"/>
    <xf numFmtId="0" fontId="31" fillId="0" borderId="0" xfId="0" applyFont="1" applyAlignment="1">
      <alignment wrapText="1"/>
    </xf>
    <xf numFmtId="0" fontId="31" fillId="0" borderId="0" xfId="0" applyFont="1"/>
    <xf numFmtId="0" fontId="31" fillId="0" borderId="0" xfId="0" applyFont="1" applyAlignment="1">
      <alignment horizontal="center"/>
    </xf>
    <xf numFmtId="172" fontId="0" fillId="0" borderId="0" xfId="0" applyNumberFormat="1"/>
    <xf numFmtId="173" fontId="0" fillId="0" borderId="0" xfId="0" applyNumberFormat="1"/>
    <xf numFmtId="171" fontId="33" fillId="0" borderId="0" xfId="2" applyNumberFormat="1" applyFont="1"/>
    <xf numFmtId="0" fontId="33" fillId="0" borderId="0" xfId="0" applyFont="1"/>
    <xf numFmtId="0" fontId="33" fillId="0" borderId="0" xfId="0" applyFont="1" applyAlignment="1">
      <alignment horizontal="center"/>
    </xf>
    <xf numFmtId="9" fontId="32" fillId="0" borderId="0" xfId="0" applyNumberFormat="1" applyFont="1" applyAlignment="1">
      <alignment horizontal="center"/>
    </xf>
    <xf numFmtId="0" fontId="34" fillId="0" borderId="0" xfId="0" applyFont="1" applyAlignment="1">
      <alignment vertical="center" wrapText="1"/>
    </xf>
    <xf numFmtId="0" fontId="15" fillId="0" borderId="0" xfId="0" applyFont="1" applyAlignment="1">
      <alignment vertical="center"/>
    </xf>
    <xf numFmtId="0" fontId="36" fillId="0" borderId="0" xfId="0" applyFont="1"/>
    <xf numFmtId="0" fontId="41" fillId="0" borderId="0" xfId="0" applyFont="1" applyAlignment="1">
      <alignment wrapText="1"/>
    </xf>
    <xf numFmtId="0" fontId="42" fillId="0" borderId="0" xfId="0" applyFont="1"/>
    <xf numFmtId="0" fontId="45" fillId="0" borderId="18" xfId="0" applyFont="1" applyBorder="1" applyAlignment="1">
      <alignment vertical="center" wrapText="1"/>
    </xf>
    <xf numFmtId="0" fontId="43" fillId="0" borderId="18" xfId="0" applyFont="1" applyBorder="1" applyAlignment="1">
      <alignment horizontal="center" vertical="center" wrapText="1"/>
    </xf>
    <xf numFmtId="0" fontId="47" fillId="0" borderId="0" xfId="0" applyFont="1"/>
    <xf numFmtId="0" fontId="40" fillId="0" borderId="0" xfId="0" applyFont="1"/>
    <xf numFmtId="0" fontId="46" fillId="0" borderId="0" xfId="0" applyFont="1" applyAlignment="1">
      <alignment wrapText="1"/>
    </xf>
    <xf numFmtId="0" fontId="38" fillId="0" borderId="0" xfId="0" applyFont="1" applyAlignment="1">
      <alignment vertical="center" wrapText="1"/>
    </xf>
    <xf numFmtId="0" fontId="48" fillId="21" borderId="17" xfId="0" applyFont="1" applyFill="1" applyBorder="1" applyAlignment="1">
      <alignment vertical="center" wrapText="1"/>
    </xf>
    <xf numFmtId="0" fontId="50" fillId="21" borderId="18" xfId="0" applyFont="1" applyFill="1" applyBorder="1" applyAlignment="1">
      <alignment vertical="center" wrapText="1"/>
    </xf>
    <xf numFmtId="0" fontId="49" fillId="21" borderId="17" xfId="0" applyFont="1" applyFill="1" applyBorder="1" applyAlignment="1">
      <alignment vertical="center" wrapText="1"/>
    </xf>
    <xf numFmtId="0" fontId="48" fillId="21" borderId="14" xfId="0" applyFont="1" applyFill="1" applyBorder="1" applyAlignment="1">
      <alignment vertical="center" wrapText="1"/>
    </xf>
    <xf numFmtId="0" fontId="50" fillId="21" borderId="16" xfId="0" applyFont="1" applyFill="1" applyBorder="1" applyAlignment="1">
      <alignment vertical="center" wrapText="1"/>
    </xf>
    <xf numFmtId="0" fontId="51" fillId="21" borderId="17" xfId="0" applyFont="1" applyFill="1" applyBorder="1" applyAlignment="1">
      <alignment vertical="center" wrapText="1"/>
    </xf>
    <xf numFmtId="0" fontId="37" fillId="21" borderId="18" xfId="0" applyFont="1" applyFill="1" applyBorder="1" applyAlignment="1">
      <alignment vertical="center" wrapText="1"/>
    </xf>
    <xf numFmtId="164" fontId="0" fillId="0" borderId="3" xfId="1" applyFont="1" applyBorder="1"/>
    <xf numFmtId="0" fontId="15" fillId="0" borderId="0" xfId="0" applyFont="1" applyAlignment="1">
      <alignment vertical="center" wrapText="1"/>
    </xf>
    <xf numFmtId="0" fontId="11" fillId="0" borderId="0" xfId="0" applyFont="1"/>
    <xf numFmtId="0" fontId="52" fillId="0" borderId="0" xfId="0" applyFont="1"/>
    <xf numFmtId="0" fontId="8" fillId="7" borderId="1" xfId="0" applyFont="1" applyFill="1" applyBorder="1" applyAlignment="1">
      <alignment horizontal="left" vertical="top" wrapText="1" readingOrder="1"/>
    </xf>
    <xf numFmtId="0" fontId="53" fillId="0" borderId="0" xfId="0" applyFont="1"/>
    <xf numFmtId="3" fontId="2" fillId="0" borderId="0" xfId="0" applyNumberFormat="1" applyFont="1"/>
    <xf numFmtId="172" fontId="2" fillId="0" borderId="0" xfId="0" applyNumberFormat="1" applyFont="1"/>
    <xf numFmtId="164" fontId="0" fillId="0" borderId="4" xfId="0" applyNumberFormat="1" applyBorder="1"/>
    <xf numFmtId="165" fontId="2" fillId="0" borderId="3" xfId="0" applyNumberFormat="1" applyFont="1" applyBorder="1"/>
    <xf numFmtId="169" fontId="2" fillId="0" borderId="4" xfId="0" applyNumberFormat="1" applyFont="1" applyBorder="1"/>
    <xf numFmtId="172" fontId="2" fillId="0" borderId="4" xfId="0" applyNumberFormat="1" applyFont="1" applyBorder="1"/>
    <xf numFmtId="165" fontId="2" fillId="0" borderId="4" xfId="0" applyNumberFormat="1" applyFont="1" applyBorder="1"/>
    <xf numFmtId="164" fontId="54" fillId="0" borderId="21" xfId="0" applyNumberFormat="1" applyFont="1" applyBorder="1" applyAlignment="1">
      <alignment horizontal="center" vertical="center" wrapText="1"/>
    </xf>
    <xf numFmtId="0" fontId="44" fillId="0" borderId="18" xfId="0" applyFont="1" applyBorder="1" applyAlignment="1">
      <alignment vertical="center" wrapText="1"/>
    </xf>
    <xf numFmtId="164" fontId="45" fillId="0" borderId="22" xfId="1" applyFont="1" applyBorder="1" applyAlignment="1">
      <alignment vertical="center" wrapText="1"/>
    </xf>
    <xf numFmtId="169" fontId="2" fillId="0" borderId="0" xfId="0" applyNumberFormat="1" applyFont="1"/>
    <xf numFmtId="164" fontId="46" fillId="0" borderId="0" xfId="1" applyFont="1" applyAlignment="1">
      <alignment wrapText="1"/>
    </xf>
    <xf numFmtId="170" fontId="2" fillId="0" borderId="0" xfId="0" applyNumberFormat="1" applyFont="1"/>
    <xf numFmtId="170" fontId="0" fillId="0" borderId="4" xfId="0" applyNumberFormat="1" applyBorder="1"/>
    <xf numFmtId="164" fontId="2" fillId="0" borderId="4" xfId="0" applyNumberFormat="1" applyFont="1" applyBorder="1"/>
    <xf numFmtId="0" fontId="55" fillId="0" borderId="0" xfId="0" applyFont="1"/>
    <xf numFmtId="0" fontId="16" fillId="0" borderId="7" xfId="0" applyFont="1" applyBorder="1" applyAlignment="1">
      <alignment horizontal="center"/>
    </xf>
    <xf numFmtId="0" fontId="16" fillId="0" borderId="0" xfId="0" applyFont="1" applyAlignment="1">
      <alignment horizontal="center"/>
    </xf>
    <xf numFmtId="0" fontId="16" fillId="22" borderId="2" xfId="0" applyFont="1" applyFill="1" applyBorder="1" applyAlignment="1">
      <alignment horizontal="center"/>
    </xf>
    <xf numFmtId="168" fontId="16" fillId="22" borderId="2" xfId="0" applyNumberFormat="1" applyFont="1" applyFill="1" applyBorder="1" applyAlignment="1">
      <alignment horizontal="center"/>
    </xf>
    <xf numFmtId="0" fontId="16" fillId="22" borderId="2" xfId="0" applyFont="1" applyFill="1" applyBorder="1"/>
    <xf numFmtId="164" fontId="32" fillId="0" borderId="0" xfId="0" applyNumberFormat="1" applyFont="1"/>
    <xf numFmtId="1" fontId="32" fillId="0" borderId="0" xfId="0" applyNumberFormat="1" applyFont="1"/>
    <xf numFmtId="0" fontId="57" fillId="0" borderId="0" xfId="0" applyFont="1"/>
    <xf numFmtId="10" fontId="0" fillId="0" borderId="0" xfId="0" applyNumberFormat="1"/>
    <xf numFmtId="0" fontId="4" fillId="23" borderId="1" xfId="0" applyFont="1" applyFill="1" applyBorder="1" applyAlignment="1">
      <alignment horizontal="left" wrapText="1" indent="2" readingOrder="1"/>
    </xf>
    <xf numFmtId="0" fontId="0" fillId="23" borderId="0" xfId="0" applyFill="1"/>
    <xf numFmtId="1" fontId="0" fillId="23" borderId="0" xfId="0" applyNumberFormat="1" applyFill="1"/>
    <xf numFmtId="166" fontId="0" fillId="23" borderId="0" xfId="3" applyNumberFormat="1" applyFont="1" applyFill="1"/>
    <xf numFmtId="173" fontId="0" fillId="23" borderId="0" xfId="0" applyNumberFormat="1" applyFill="1"/>
    <xf numFmtId="164" fontId="0" fillId="23" borderId="0" xfId="0" applyNumberFormat="1" applyFill="1"/>
    <xf numFmtId="0" fontId="32" fillId="0" borderId="0" xfId="0" applyFont="1" applyAlignment="1">
      <alignment wrapText="1"/>
    </xf>
    <xf numFmtId="169" fontId="0" fillId="0" borderId="4" xfId="0" applyNumberFormat="1" applyBorder="1"/>
    <xf numFmtId="165" fontId="2" fillId="0" borderId="0" xfId="0" applyNumberFormat="1" applyFont="1"/>
    <xf numFmtId="0" fontId="58" fillId="0" borderId="0" xfId="0" applyFont="1"/>
    <xf numFmtId="0" fontId="2" fillId="0" borderId="0" xfId="0" applyFont="1" applyAlignment="1">
      <alignment wrapText="1"/>
    </xf>
    <xf numFmtId="0" fontId="59" fillId="0" borderId="0" xfId="0" applyFont="1" applyAlignment="1">
      <alignment horizontal="left" wrapText="1"/>
    </xf>
    <xf numFmtId="0" fontId="60" fillId="0" borderId="0" xfId="0" applyFont="1"/>
    <xf numFmtId="0" fontId="60" fillId="0" borderId="0" xfId="0" applyFont="1" applyAlignment="1">
      <alignment wrapText="1"/>
    </xf>
    <xf numFmtId="0" fontId="62" fillId="0" borderId="0" xfId="0" applyFont="1" applyAlignment="1">
      <alignment wrapText="1"/>
    </xf>
    <xf numFmtId="0" fontId="11" fillId="0" borderId="0" xfId="0" applyFont="1" applyAlignment="1">
      <alignment horizontal="center" vertical="center" wrapText="1"/>
    </xf>
    <xf numFmtId="164" fontId="0" fillId="0" borderId="0" xfId="1" applyFont="1" applyAlignment="1">
      <alignment horizontal="center"/>
    </xf>
    <xf numFmtId="164" fontId="2" fillId="0" borderId="0" xfId="1" applyFont="1"/>
    <xf numFmtId="0" fontId="61" fillId="0" borderId="0" xfId="0" applyFont="1" applyAlignment="1">
      <alignment wrapText="1"/>
    </xf>
    <xf numFmtId="0" fontId="61" fillId="0" borderId="0" xfId="0" applyFont="1"/>
    <xf numFmtId="0" fontId="38" fillId="0" borderId="0" xfId="0" applyFont="1" applyAlignment="1">
      <alignment wrapText="1"/>
    </xf>
    <xf numFmtId="165" fontId="36" fillId="0" borderId="0" xfId="0" applyNumberFormat="1" applyFont="1"/>
    <xf numFmtId="0" fontId="13" fillId="0" borderId="0" xfId="0" applyFont="1" applyAlignment="1">
      <alignment horizontal="left" vertical="center" indent="2"/>
    </xf>
    <xf numFmtId="0" fontId="63" fillId="0" borderId="0" xfId="0" applyFont="1"/>
    <xf numFmtId="164" fontId="1" fillId="0" borderId="0" xfId="1" applyFont="1"/>
    <xf numFmtId="174" fontId="0" fillId="0" borderId="0" xfId="0" applyNumberFormat="1"/>
    <xf numFmtId="41" fontId="16" fillId="0" borderId="2" xfId="4" applyFont="1" applyBorder="1" applyAlignment="1">
      <alignment horizontal="center"/>
    </xf>
    <xf numFmtId="0" fontId="0" fillId="0" borderId="0" xfId="0" applyAlignment="1">
      <alignment horizontal="right"/>
    </xf>
    <xf numFmtId="169" fontId="0" fillId="0" borderId="0" xfId="3" applyNumberFormat="1" applyFont="1"/>
    <xf numFmtId="0" fontId="0" fillId="0" borderId="0" xfId="0" quotePrefix="1" applyAlignment="1">
      <alignment wrapText="1"/>
    </xf>
    <xf numFmtId="0" fontId="0" fillId="0" borderId="10" xfId="0" applyBorder="1"/>
    <xf numFmtId="0" fontId="0" fillId="0" borderId="13" xfId="0" applyBorder="1"/>
    <xf numFmtId="0" fontId="2" fillId="0" borderId="13" xfId="0" applyFont="1" applyBorder="1"/>
    <xf numFmtId="0" fontId="0" fillId="0" borderId="13" xfId="0" applyBorder="1" applyAlignment="1">
      <alignment horizontal="center"/>
    </xf>
    <xf numFmtId="164" fontId="0" fillId="0" borderId="13" xfId="1" applyFont="1" applyBorder="1"/>
    <xf numFmtId="0" fontId="31" fillId="0" borderId="13" xfId="0" applyFont="1" applyBorder="1"/>
    <xf numFmtId="164" fontId="0" fillId="0" borderId="13" xfId="1" applyFont="1" applyBorder="1" applyAlignment="1">
      <alignment horizontal="center"/>
    </xf>
    <xf numFmtId="169" fontId="0" fillId="0" borderId="13" xfId="0" applyNumberFormat="1" applyBorder="1"/>
    <xf numFmtId="0" fontId="31" fillId="0" borderId="13" xfId="0" applyFont="1" applyBorder="1" applyAlignment="1">
      <alignment horizontal="center"/>
    </xf>
    <xf numFmtId="164" fontId="0" fillId="0" borderId="13" xfId="0" applyNumberFormat="1" applyBorder="1"/>
    <xf numFmtId="165" fontId="0" fillId="0" borderId="13" xfId="0" applyNumberFormat="1" applyBorder="1"/>
    <xf numFmtId="0" fontId="0" fillId="0" borderId="5" xfId="0" applyBorder="1"/>
    <xf numFmtId="0" fontId="0" fillId="0" borderId="23" xfId="0" applyBorder="1"/>
    <xf numFmtId="0" fontId="2" fillId="0" borderId="5" xfId="0" applyFont="1" applyBorder="1" applyAlignment="1">
      <alignment horizontal="center" wrapText="1"/>
    </xf>
    <xf numFmtId="0" fontId="31" fillId="0" borderId="23" xfId="0" applyFont="1" applyBorder="1"/>
    <xf numFmtId="0" fontId="31" fillId="0" borderId="5" xfId="0" applyFont="1" applyBorder="1"/>
    <xf numFmtId="0" fontId="31" fillId="0" borderId="23" xfId="0" applyFont="1" applyBorder="1" applyAlignment="1">
      <alignment wrapText="1"/>
    </xf>
    <xf numFmtId="0" fontId="2" fillId="0" borderId="23" xfId="0" applyFont="1" applyBorder="1"/>
    <xf numFmtId="0" fontId="2" fillId="0" borderId="5" xfId="0" applyFont="1" applyBorder="1"/>
    <xf numFmtId="0" fontId="2" fillId="0" borderId="23" xfId="0" applyFont="1" applyBorder="1" applyAlignment="1">
      <alignment horizontal="center"/>
    </xf>
    <xf numFmtId="0" fontId="31" fillId="0" borderId="0" xfId="0" applyFont="1" applyAlignment="1">
      <alignment horizont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vertical="top"/>
    </xf>
    <xf numFmtId="0" fontId="62" fillId="0" borderId="0" xfId="0" applyFont="1" applyAlignment="1">
      <alignment horizontal="center" vertical="top" wrapText="1"/>
    </xf>
    <xf numFmtId="0" fontId="0" fillId="0" borderId="0" xfId="0" applyAlignment="1">
      <alignment horizontal="left" vertical="top" wrapText="1"/>
    </xf>
    <xf numFmtId="0" fontId="2" fillId="0" borderId="0" xfId="0" applyFont="1" applyAlignment="1">
      <alignment horizontal="center" wrapText="1"/>
    </xf>
    <xf numFmtId="0" fontId="2" fillId="0" borderId="0" xfId="0" applyFont="1" applyAlignment="1">
      <alignment horizontal="center" vertical="top" wrapText="1"/>
    </xf>
    <xf numFmtId="0" fontId="43" fillId="20" borderId="19" xfId="0" applyFont="1" applyFill="1" applyBorder="1" applyAlignment="1">
      <alignment vertical="center" wrapText="1"/>
    </xf>
    <xf numFmtId="0" fontId="43" fillId="20" borderId="20" xfId="0" applyFont="1" applyFill="1" applyBorder="1" applyAlignment="1">
      <alignment vertical="center" wrapText="1"/>
    </xf>
    <xf numFmtId="0" fontId="40" fillId="20" borderId="19" xfId="0" applyFont="1" applyFill="1" applyBorder="1" applyAlignment="1">
      <alignment horizontal="center" vertical="center" wrapText="1"/>
    </xf>
    <xf numFmtId="0" fontId="40" fillId="20" borderId="17" xfId="0" applyFont="1" applyFill="1" applyBorder="1" applyAlignment="1">
      <alignment horizontal="center" vertical="center" wrapText="1"/>
    </xf>
    <xf numFmtId="0" fontId="39" fillId="20" borderId="19" xfId="0" applyFont="1" applyFill="1" applyBorder="1" applyAlignment="1">
      <alignment horizontal="center" vertical="center" wrapText="1"/>
    </xf>
    <xf numFmtId="0" fontId="39" fillId="20" borderId="17" xfId="0" applyFont="1" applyFill="1" applyBorder="1" applyAlignment="1">
      <alignment horizontal="center" vertical="center" wrapText="1"/>
    </xf>
    <xf numFmtId="0" fontId="43" fillId="20" borderId="17" xfId="0" applyFont="1" applyFill="1" applyBorder="1" applyAlignment="1">
      <alignment vertical="center" wrapText="1"/>
    </xf>
    <xf numFmtId="0" fontId="43" fillId="0" borderId="19" xfId="0" applyFont="1" applyBorder="1" applyAlignment="1">
      <alignment horizontal="center" vertical="center" wrapText="1"/>
    </xf>
    <xf numFmtId="0" fontId="43" fillId="0" borderId="17" xfId="0" applyFont="1" applyBorder="1" applyAlignment="1">
      <alignment horizontal="center" vertical="center" wrapText="1"/>
    </xf>
    <xf numFmtId="0" fontId="46" fillId="0" borderId="15" xfId="0" applyFont="1" applyBorder="1" applyAlignment="1">
      <alignment vertical="center" wrapText="1"/>
    </xf>
    <xf numFmtId="0" fontId="46" fillId="0" borderId="16" xfId="0" applyFont="1" applyBorder="1" applyAlignment="1">
      <alignment vertical="center" wrapText="1"/>
    </xf>
    <xf numFmtId="0" fontId="20" fillId="13" borderId="10" xfId="0" applyFont="1" applyFill="1" applyBorder="1" applyAlignment="1">
      <alignment horizontal="left"/>
    </xf>
    <xf numFmtId="0" fontId="20" fillId="13" borderId="3" xfId="0" applyFont="1" applyFill="1" applyBorder="1" applyAlignment="1">
      <alignment horizontal="left"/>
    </xf>
    <xf numFmtId="0" fontId="20" fillId="13" borderId="8" xfId="0" applyFont="1" applyFill="1" applyBorder="1" applyAlignment="1">
      <alignment horizontal="left"/>
    </xf>
    <xf numFmtId="0" fontId="20" fillId="0" borderId="10" xfId="0" applyFont="1" applyBorder="1" applyAlignment="1">
      <alignment horizontal="left"/>
    </xf>
    <xf numFmtId="0" fontId="20" fillId="0" borderId="3" xfId="0" applyFont="1" applyBorder="1" applyAlignment="1">
      <alignment horizontal="left"/>
    </xf>
    <xf numFmtId="0" fontId="20" fillId="0" borderId="8" xfId="0" applyFont="1" applyBorder="1" applyAlignment="1">
      <alignment horizontal="left"/>
    </xf>
    <xf numFmtId="0" fontId="17" fillId="13" borderId="10" xfId="0" applyFont="1" applyFill="1" applyBorder="1" applyAlignment="1">
      <alignment horizontal="center"/>
    </xf>
    <xf numFmtId="0" fontId="17" fillId="13" borderId="3" xfId="0" applyFont="1" applyFill="1" applyBorder="1" applyAlignment="1">
      <alignment horizontal="center"/>
    </xf>
    <xf numFmtId="0" fontId="20" fillId="13" borderId="10" xfId="0" applyFont="1" applyFill="1" applyBorder="1" applyAlignment="1">
      <alignment horizontal="left" vertical="top" wrapText="1"/>
    </xf>
    <xf numFmtId="0" fontId="20" fillId="13" borderId="3" xfId="0" applyFont="1" applyFill="1" applyBorder="1" applyAlignment="1">
      <alignment horizontal="left" vertical="top" wrapText="1"/>
    </xf>
    <xf numFmtId="0" fontId="20" fillId="13" borderId="8" xfId="0" applyFont="1" applyFill="1" applyBorder="1" applyAlignment="1">
      <alignment horizontal="left" vertical="top" wrapText="1"/>
    </xf>
    <xf numFmtId="0" fontId="20" fillId="13" borderId="10" xfId="0" applyFont="1" applyFill="1" applyBorder="1" applyAlignment="1">
      <alignment horizontal="left" wrapText="1"/>
    </xf>
    <xf numFmtId="0" fontId="20" fillId="13" borderId="3" xfId="0" applyFont="1" applyFill="1" applyBorder="1" applyAlignment="1">
      <alignment horizontal="left" wrapText="1"/>
    </xf>
    <xf numFmtId="0" fontId="20" fillId="13" borderId="8" xfId="0" applyFont="1" applyFill="1" applyBorder="1" applyAlignment="1">
      <alignment horizontal="left" wrapText="1"/>
    </xf>
    <xf numFmtId="0" fontId="17" fillId="0" borderId="5" xfId="0" applyFont="1" applyBorder="1" applyAlignment="1">
      <alignment horizontal="center"/>
    </xf>
    <xf numFmtId="0" fontId="18" fillId="0" borderId="1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xf>
    <xf numFmtId="0" fontId="18" fillId="0" borderId="8" xfId="0" applyFont="1" applyBorder="1" applyAlignment="1">
      <alignment horizontal="center"/>
    </xf>
    <xf numFmtId="0" fontId="18" fillId="0" borderId="11" xfId="0" applyFont="1" applyBorder="1" applyAlignment="1">
      <alignment horizontal="left" vertical="top" wrapText="1"/>
    </xf>
    <xf numFmtId="0" fontId="18" fillId="0" borderId="6" xfId="0" applyFont="1" applyBorder="1" applyAlignment="1">
      <alignment horizontal="left" vertical="top" wrapText="1"/>
    </xf>
    <xf numFmtId="0" fontId="29" fillId="0" borderId="10" xfId="0" applyFont="1" applyBorder="1" applyAlignment="1">
      <alignment horizontal="left"/>
    </xf>
    <xf numFmtId="0" fontId="29" fillId="0" borderId="12" xfId="0" applyFont="1" applyBorder="1" applyAlignment="1">
      <alignment horizontal="left"/>
    </xf>
    <xf numFmtId="0" fontId="27" fillId="0" borderId="11" xfId="0" applyFont="1" applyBorder="1" applyAlignment="1">
      <alignment horizontal="center" vertical="center"/>
    </xf>
    <xf numFmtId="0" fontId="27" fillId="0" borderId="7" xfId="0" applyFont="1" applyBorder="1" applyAlignment="1">
      <alignment horizontal="center" vertical="center"/>
    </xf>
    <xf numFmtId="0" fontId="27" fillId="0" borderId="6" xfId="0" applyFont="1" applyBorder="1" applyAlignment="1">
      <alignment horizontal="center" vertical="center"/>
    </xf>
    <xf numFmtId="0" fontId="27" fillId="13" borderId="10" xfId="0" applyFont="1" applyFill="1" applyBorder="1" applyAlignment="1">
      <alignment horizontal="center"/>
    </xf>
    <xf numFmtId="0" fontId="27" fillId="13" borderId="3" xfId="0" applyFont="1" applyFill="1" applyBorder="1" applyAlignment="1">
      <alignment horizontal="center"/>
    </xf>
    <xf numFmtId="0" fontId="27" fillId="13" borderId="12" xfId="0" applyFont="1" applyFill="1" applyBorder="1" applyAlignment="1">
      <alignment horizontal="center"/>
    </xf>
    <xf numFmtId="0" fontId="20" fillId="14" borderId="10" xfId="0" applyFont="1" applyFill="1" applyBorder="1" applyAlignment="1">
      <alignment horizontal="center" wrapText="1"/>
    </xf>
    <xf numFmtId="0" fontId="20" fillId="14" borderId="3" xfId="0" applyFont="1" applyFill="1" applyBorder="1" applyAlignment="1">
      <alignment horizontal="center" wrapText="1"/>
    </xf>
    <xf numFmtId="0" fontId="20" fillId="14" borderId="8" xfId="0" applyFont="1" applyFill="1" applyBorder="1" applyAlignment="1">
      <alignment horizontal="center" wrapText="1"/>
    </xf>
    <xf numFmtId="0" fontId="21" fillId="13" borderId="13" xfId="0" applyFont="1" applyFill="1" applyBorder="1" applyAlignment="1">
      <alignment horizontal="center" vertical="center" wrapText="1"/>
    </xf>
    <xf numFmtId="0" fontId="22" fillId="0" borderId="0" xfId="0" applyFont="1" applyAlignment="1">
      <alignment horizontal="center"/>
    </xf>
    <xf numFmtId="0" fontId="21" fillId="0" borderId="10" xfId="0" applyFont="1" applyBorder="1" applyAlignment="1">
      <alignment horizontal="center"/>
    </xf>
    <xf numFmtId="0" fontId="21" fillId="0" borderId="3" xfId="0" applyFont="1" applyBorder="1" applyAlignment="1">
      <alignment horizontal="center"/>
    </xf>
    <xf numFmtId="0" fontId="21" fillId="0" borderId="12" xfId="0" applyFont="1" applyBorder="1" applyAlignment="1">
      <alignment horizontal="center"/>
    </xf>
    <xf numFmtId="0" fontId="17" fillId="13" borderId="12" xfId="0" applyFont="1" applyFill="1" applyBorder="1" applyAlignment="1">
      <alignment horizontal="center"/>
    </xf>
    <xf numFmtId="0" fontId="17" fillId="13" borderId="8" xfId="0" applyFont="1" applyFill="1" applyBorder="1" applyAlignment="1">
      <alignment horizontal="center"/>
    </xf>
    <xf numFmtId="0" fontId="21" fillId="16" borderId="13" xfId="0" applyFont="1" applyFill="1" applyBorder="1" applyAlignment="1">
      <alignment horizontal="center" vertical="center"/>
    </xf>
    <xf numFmtId="0" fontId="0" fillId="0" borderId="2" xfId="0" applyBorder="1" applyAlignment="1">
      <alignment horizontal="center"/>
    </xf>
    <xf numFmtId="0" fontId="16" fillId="22" borderId="2" xfId="0" applyFont="1" applyFill="1" applyBorder="1" applyAlignment="1">
      <alignment horizontal="center"/>
    </xf>
    <xf numFmtId="0" fontId="40" fillId="0" borderId="0" xfId="0" applyFont="1" applyAlignment="1">
      <alignment vertical="center"/>
    </xf>
  </cellXfs>
  <cellStyles count="5">
    <cellStyle name="Comma" xfId="3" builtinId="3"/>
    <cellStyle name="Comma [0]" xfId="1" builtinId="6"/>
    <cellStyle name="Comma [0] 2" xfId="4" xr:uid="{C0B0CC6D-9652-48E2-97D2-1CDF91F2CF0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B2F16-6B5B-8046-AB08-8019717D4BC0}">
  <dimension ref="A1:Y83"/>
  <sheetViews>
    <sheetView zoomScale="70" zoomScaleNormal="70" workbookViewId="0">
      <selection sqref="A1:K1"/>
    </sheetView>
  </sheetViews>
  <sheetFormatPr defaultColWidth="11" defaultRowHeight="15.75" x14ac:dyDescent="0.25"/>
  <cols>
    <col min="1" max="1" width="63.375" customWidth="1"/>
    <col min="2" max="2" width="8.125" customWidth="1"/>
    <col min="3" max="3" width="17.625" customWidth="1"/>
    <col min="5" max="6" width="11.5" bestFit="1" customWidth="1"/>
    <col min="10" max="11" width="13" bestFit="1" customWidth="1"/>
    <col min="12" max="12" width="14" bestFit="1" customWidth="1"/>
    <col min="13" max="13" width="14" customWidth="1"/>
    <col min="15" max="15" width="15" customWidth="1"/>
    <col min="16" max="16" width="13" bestFit="1" customWidth="1"/>
    <col min="18" max="18" width="13" bestFit="1" customWidth="1"/>
    <col min="19" max="19" width="14.625" customWidth="1"/>
    <col min="20" max="20" width="13" bestFit="1" customWidth="1"/>
    <col min="21" max="21" width="44.125" customWidth="1"/>
    <col min="22" max="22" width="11.5" bestFit="1" customWidth="1"/>
    <col min="23" max="23" width="16" customWidth="1"/>
    <col min="24" max="24" width="13" customWidth="1"/>
    <col min="25" max="27" width="16.625" customWidth="1"/>
    <col min="28" max="28" width="18.625" customWidth="1"/>
    <col min="29" max="29" width="18" customWidth="1"/>
  </cols>
  <sheetData>
    <row r="1" spans="1:22" x14ac:dyDescent="0.25">
      <c r="A1" s="245" t="s">
        <v>524</v>
      </c>
      <c r="B1" s="245"/>
      <c r="C1" s="245"/>
      <c r="D1" s="245"/>
      <c r="E1" s="245"/>
      <c r="F1" s="245"/>
      <c r="G1" s="245"/>
      <c r="H1" s="245"/>
      <c r="I1" s="245"/>
      <c r="J1" s="245"/>
      <c r="K1" s="245"/>
    </row>
    <row r="2" spans="1:22" ht="31.5" x14ac:dyDescent="0.25">
      <c r="E2" s="244" t="s">
        <v>188</v>
      </c>
      <c r="F2" s="244"/>
      <c r="G2" s="244"/>
      <c r="H2" s="132"/>
      <c r="I2" s="53" t="s">
        <v>189</v>
      </c>
      <c r="J2" s="243" t="s">
        <v>190</v>
      </c>
      <c r="K2" s="243"/>
      <c r="L2" s="243"/>
      <c r="M2" s="136"/>
      <c r="N2" s="135" t="s">
        <v>191</v>
      </c>
      <c r="O2" s="244" t="s">
        <v>192</v>
      </c>
      <c r="P2" s="244"/>
      <c r="Q2" s="244"/>
      <c r="R2" s="132"/>
      <c r="S2" s="53" t="s">
        <v>193</v>
      </c>
      <c r="U2" s="151"/>
    </row>
    <row r="3" spans="1:22" ht="16.5" thickBot="1" x14ac:dyDescent="0.3">
      <c r="B3" t="s">
        <v>27</v>
      </c>
      <c r="C3" t="s">
        <v>23</v>
      </c>
      <c r="D3" t="s">
        <v>115</v>
      </c>
      <c r="E3" s="13" t="s">
        <v>25</v>
      </c>
      <c r="F3" s="13" t="s">
        <v>22</v>
      </c>
      <c r="G3" s="13" t="s">
        <v>346</v>
      </c>
      <c r="H3" s="132" t="s">
        <v>343</v>
      </c>
      <c r="I3" s="13" t="s">
        <v>26</v>
      </c>
      <c r="J3" s="136" t="s">
        <v>25</v>
      </c>
      <c r="K3" s="136" t="s">
        <v>22</v>
      </c>
      <c r="L3" s="136" t="s">
        <v>346</v>
      </c>
      <c r="M3" s="137" t="s">
        <v>343</v>
      </c>
      <c r="N3" s="136" t="s">
        <v>26</v>
      </c>
      <c r="O3" s="13" t="s">
        <v>25</v>
      </c>
      <c r="P3" s="13" t="s">
        <v>22</v>
      </c>
      <c r="Q3" s="13" t="s">
        <v>24</v>
      </c>
      <c r="R3" s="13" t="s">
        <v>344</v>
      </c>
      <c r="S3" s="13" t="s">
        <v>26</v>
      </c>
      <c r="U3" s="13" t="s">
        <v>463</v>
      </c>
      <c r="V3">
        <v>0.49559999999999998</v>
      </c>
    </row>
    <row r="4" spans="1:22" ht="32.25" thickBot="1" x14ac:dyDescent="0.3">
      <c r="A4" s="1" t="s">
        <v>0</v>
      </c>
      <c r="E4" s="140">
        <v>0.495</v>
      </c>
      <c r="F4" s="140">
        <v>0.51500000000000001</v>
      </c>
      <c r="G4" s="141">
        <v>6.5</v>
      </c>
      <c r="H4" s="142" t="s">
        <v>347</v>
      </c>
      <c r="I4" s="141"/>
      <c r="J4" s="140">
        <v>0.495</v>
      </c>
      <c r="K4" s="140">
        <v>0.51500000000000001</v>
      </c>
      <c r="L4" s="141">
        <v>6.5</v>
      </c>
      <c r="M4" s="143" t="s">
        <v>347</v>
      </c>
      <c r="U4" t="s">
        <v>464</v>
      </c>
      <c r="V4" s="4">
        <f>I48*V3</f>
        <v>49560</v>
      </c>
    </row>
    <row r="5" spans="1:22" ht="51.95" customHeight="1" thickBot="1" x14ac:dyDescent="0.3">
      <c r="A5" s="19" t="s">
        <v>1</v>
      </c>
      <c r="U5" t="s">
        <v>465</v>
      </c>
      <c r="V5" s="37">
        <f>S48*V3</f>
        <v>222518.75016</v>
      </c>
    </row>
    <row r="6" spans="1:22" x14ac:dyDescent="0.25">
      <c r="A6" s="14" t="s">
        <v>143</v>
      </c>
      <c r="C6" t="s">
        <v>334</v>
      </c>
      <c r="E6">
        <v>28</v>
      </c>
      <c r="F6">
        <v>0</v>
      </c>
      <c r="G6">
        <f>SUM(E6:F6)</f>
        <v>28</v>
      </c>
    </row>
    <row r="7" spans="1:22" x14ac:dyDescent="0.25">
      <c r="A7" s="133" t="s">
        <v>332</v>
      </c>
      <c r="C7" t="s">
        <v>333</v>
      </c>
      <c r="E7">
        <v>300</v>
      </c>
      <c r="F7">
        <v>200</v>
      </c>
      <c r="G7">
        <v>500</v>
      </c>
    </row>
    <row r="8" spans="1:22" x14ac:dyDescent="0.25">
      <c r="A8" s="16" t="s">
        <v>144</v>
      </c>
      <c r="C8" t="s">
        <v>29</v>
      </c>
      <c r="E8">
        <v>210</v>
      </c>
      <c r="F8">
        <v>140</v>
      </c>
      <c r="G8">
        <f>SUM(E8:F8)</f>
        <v>350</v>
      </c>
    </row>
    <row r="9" spans="1:22" x14ac:dyDescent="0.25">
      <c r="A9" s="16" t="s">
        <v>145</v>
      </c>
      <c r="C9" t="s">
        <v>29</v>
      </c>
      <c r="E9">
        <v>25</v>
      </c>
      <c r="F9">
        <v>25</v>
      </c>
      <c r="G9">
        <f>SUM(E9:F9)</f>
        <v>50</v>
      </c>
    </row>
    <row r="10" spans="1:22" x14ac:dyDescent="0.25">
      <c r="A10" s="16" t="s">
        <v>146</v>
      </c>
      <c r="B10" t="s">
        <v>28</v>
      </c>
      <c r="C10" t="s">
        <v>30</v>
      </c>
      <c r="D10">
        <v>12</v>
      </c>
      <c r="J10" s="4">
        <f>L10*J4</f>
        <v>8043.75</v>
      </c>
      <c r="K10" s="4">
        <f>L10*K4</f>
        <v>8368.75</v>
      </c>
      <c r="L10" s="4">
        <f>N10*6.5</f>
        <v>16250</v>
      </c>
      <c r="M10" s="4">
        <f>N10*0.3</f>
        <v>750</v>
      </c>
      <c r="N10" s="4">
        <f>K51</f>
        <v>2500</v>
      </c>
      <c r="O10" s="42">
        <f>J10</f>
        <v>8043.75</v>
      </c>
      <c r="P10" s="42">
        <f>K10</f>
        <v>8368.75</v>
      </c>
      <c r="Q10" s="42">
        <f>L10</f>
        <v>16250</v>
      </c>
      <c r="R10" s="42">
        <f>M10</f>
        <v>750</v>
      </c>
      <c r="S10" s="42">
        <f>N10</f>
        <v>2500</v>
      </c>
    </row>
    <row r="11" spans="1:22" ht="28.5" x14ac:dyDescent="0.25">
      <c r="A11" s="16" t="s">
        <v>147</v>
      </c>
      <c r="B11" t="s">
        <v>31</v>
      </c>
      <c r="C11" t="s">
        <v>32</v>
      </c>
      <c r="D11">
        <v>1</v>
      </c>
      <c r="J11" s="37">
        <f>L11*J4</f>
        <v>111111.85799999999</v>
      </c>
      <c r="K11" s="37">
        <f>L11*K4</f>
        <v>115601.226</v>
      </c>
      <c r="L11" s="37">
        <f>N11*L4</f>
        <v>224468.4</v>
      </c>
      <c r="M11" s="37">
        <f>N11*0.3</f>
        <v>10360.08</v>
      </c>
      <c r="N11" s="42">
        <f>K52</f>
        <v>34533.599999999999</v>
      </c>
    </row>
    <row r="12" spans="1:22" ht="16.5" thickBot="1" x14ac:dyDescent="0.3">
      <c r="A12" s="16"/>
      <c r="J12" s="37"/>
      <c r="K12" s="37"/>
      <c r="L12" s="37"/>
      <c r="M12" s="37"/>
      <c r="N12" s="42"/>
    </row>
    <row r="13" spans="1:22" ht="48" thickBot="1" x14ac:dyDescent="0.3">
      <c r="A13" s="18" t="s">
        <v>2</v>
      </c>
    </row>
    <row r="14" spans="1:22" x14ac:dyDescent="0.25">
      <c r="A14" s="20" t="s">
        <v>148</v>
      </c>
      <c r="B14" t="s">
        <v>34</v>
      </c>
      <c r="C14" t="s">
        <v>157</v>
      </c>
      <c r="D14">
        <v>2</v>
      </c>
      <c r="J14" s="37">
        <f>L14*J4</f>
        <v>166667.78700000001</v>
      </c>
      <c r="K14" s="37">
        <f>L14*K4</f>
        <v>173401.83900000004</v>
      </c>
      <c r="L14" s="37">
        <f>N14*L4</f>
        <v>336702.60000000003</v>
      </c>
      <c r="M14" s="37">
        <f>N14*0.2</f>
        <v>10360.080000000002</v>
      </c>
      <c r="N14" s="37">
        <f>K53</f>
        <v>51800.4</v>
      </c>
      <c r="S14" s="37"/>
    </row>
    <row r="15" spans="1:22" ht="16.5" thickBot="1" x14ac:dyDescent="0.3">
      <c r="A15" s="15" t="s">
        <v>149</v>
      </c>
      <c r="B15" t="s">
        <v>36</v>
      </c>
      <c r="C15" t="s">
        <v>158</v>
      </c>
      <c r="D15">
        <v>1</v>
      </c>
      <c r="J15" s="37">
        <f>L15*J4</f>
        <v>222223.71599999999</v>
      </c>
      <c r="K15" s="37">
        <f>L15*K4</f>
        <v>231202.45199999999</v>
      </c>
      <c r="L15" s="37">
        <f>N15*L4</f>
        <v>448936.8</v>
      </c>
      <c r="M15" s="37">
        <f>N15*0.2</f>
        <v>13813.44</v>
      </c>
      <c r="N15" s="37">
        <f>K54</f>
        <v>69067.199999999997</v>
      </c>
      <c r="S15" s="37"/>
    </row>
    <row r="16" spans="1:22" ht="32.25" thickBot="1" x14ac:dyDescent="0.3">
      <c r="A16" s="21" t="s">
        <v>3</v>
      </c>
    </row>
    <row r="17" spans="1:19" ht="16.5" thickBot="1" x14ac:dyDescent="0.3">
      <c r="A17" s="24" t="s">
        <v>4</v>
      </c>
    </row>
    <row r="18" spans="1:19" x14ac:dyDescent="0.25">
      <c r="A18" s="129" t="s">
        <v>335</v>
      </c>
      <c r="B18" t="s">
        <v>114</v>
      </c>
      <c r="C18" t="s">
        <v>199</v>
      </c>
      <c r="D18">
        <v>21</v>
      </c>
      <c r="J18" s="37">
        <f>L18*J4</f>
        <v>614823.70949999988</v>
      </c>
      <c r="K18" s="37">
        <f>L18*K4</f>
        <v>639665.07149999996</v>
      </c>
      <c r="L18" s="37">
        <f>N18*L4</f>
        <v>1242068.0999999999</v>
      </c>
      <c r="M18" s="37">
        <f>N18*0.5</f>
        <v>95543.7</v>
      </c>
      <c r="N18" s="42">
        <f>K55</f>
        <v>191087.4</v>
      </c>
      <c r="S18" s="42"/>
    </row>
    <row r="19" spans="1:19" x14ac:dyDescent="0.25">
      <c r="A19" s="23" t="s">
        <v>150</v>
      </c>
      <c r="B19" t="s">
        <v>117</v>
      </c>
      <c r="C19" t="s">
        <v>35</v>
      </c>
      <c r="E19">
        <v>212</v>
      </c>
      <c r="F19">
        <v>40</v>
      </c>
      <c r="G19">
        <f>SUM(E19:F19)</f>
        <v>252</v>
      </c>
    </row>
    <row r="20" spans="1:19" ht="16.5" thickBot="1" x14ac:dyDescent="0.3">
      <c r="A20" s="23" t="s">
        <v>151</v>
      </c>
      <c r="B20" t="s">
        <v>118</v>
      </c>
      <c r="C20" t="s">
        <v>35</v>
      </c>
      <c r="E20">
        <v>352</v>
      </c>
      <c r="F20">
        <v>68</v>
      </c>
      <c r="G20">
        <f>SUM(E20:F20)</f>
        <v>420</v>
      </c>
    </row>
    <row r="21" spans="1:19" ht="32.25" thickBot="1" x14ac:dyDescent="0.3">
      <c r="A21" s="25" t="s">
        <v>5</v>
      </c>
    </row>
    <row r="22" spans="1:19" ht="16.5" thickBot="1" x14ac:dyDescent="0.3">
      <c r="A22" s="26" t="s">
        <v>33</v>
      </c>
      <c r="B22" t="s">
        <v>119</v>
      </c>
      <c r="C22" t="s">
        <v>113</v>
      </c>
      <c r="D22">
        <v>531</v>
      </c>
      <c r="E22" s="4"/>
      <c r="F22" s="138"/>
      <c r="G22" s="42"/>
      <c r="H22" s="38">
        <v>50000</v>
      </c>
      <c r="I22" s="4">
        <f>K58</f>
        <v>96000</v>
      </c>
      <c r="J22" s="42">
        <f>E22</f>
        <v>0</v>
      </c>
      <c r="S22" s="42"/>
    </row>
    <row r="23" spans="1:19" ht="16.5" thickBot="1" x14ac:dyDescent="0.3">
      <c r="A23" s="26" t="s">
        <v>37</v>
      </c>
      <c r="B23" t="s">
        <v>120</v>
      </c>
      <c r="C23" t="s">
        <v>116</v>
      </c>
      <c r="D23" s="190">
        <v>7073</v>
      </c>
      <c r="E23" s="139"/>
      <c r="F23" s="139"/>
      <c r="G23" s="139"/>
      <c r="H23" s="37">
        <f>I23*0.3</f>
        <v>508.2</v>
      </c>
      <c r="I23" s="189">
        <v>1694</v>
      </c>
      <c r="L23" s="33"/>
      <c r="M23" s="33"/>
    </row>
    <row r="24" spans="1:19" ht="16.5" thickBot="1" x14ac:dyDescent="0.3">
      <c r="A24" s="26" t="s">
        <v>401</v>
      </c>
      <c r="B24" t="s">
        <v>152</v>
      </c>
      <c r="C24" t="s">
        <v>116</v>
      </c>
      <c r="D24" s="190">
        <v>1350</v>
      </c>
      <c r="H24" s="37">
        <f>I24*0.3</f>
        <v>61.199999999999996</v>
      </c>
      <c r="I24" s="4">
        <v>204</v>
      </c>
    </row>
    <row r="25" spans="1:19" ht="16.5" thickBot="1" x14ac:dyDescent="0.3">
      <c r="A25" s="193" t="s">
        <v>398</v>
      </c>
      <c r="B25" s="194" t="s">
        <v>468</v>
      </c>
      <c r="C25" s="194" t="s">
        <v>397</v>
      </c>
      <c r="D25">
        <v>257</v>
      </c>
      <c r="E25" s="196">
        <f t="shared" ref="E25:F26" si="0">$D25*E$4</f>
        <v>127.215</v>
      </c>
      <c r="F25" s="196">
        <f t="shared" si="0"/>
        <v>132.35499999999999</v>
      </c>
      <c r="G25" s="196">
        <f>D25</f>
        <v>257</v>
      </c>
      <c r="H25" s="197">
        <f>I25*0.3</f>
        <v>77.099999999999994</v>
      </c>
      <c r="I25" s="198">
        <f>D25</f>
        <v>257</v>
      </c>
      <c r="J25" s="194"/>
    </row>
    <row r="26" spans="1:19" ht="16.5" thickBot="1" x14ac:dyDescent="0.3">
      <c r="A26" s="193" t="s">
        <v>469</v>
      </c>
      <c r="B26" s="194" t="s">
        <v>470</v>
      </c>
      <c r="C26" s="194" t="s">
        <v>397</v>
      </c>
      <c r="D26">
        <v>897</v>
      </c>
      <c r="E26" s="196">
        <f t="shared" si="0"/>
        <v>444.01499999999999</v>
      </c>
      <c r="F26" s="196">
        <f t="shared" si="0"/>
        <v>461.95499999999998</v>
      </c>
      <c r="G26" s="196">
        <f>D26</f>
        <v>897</v>
      </c>
      <c r="H26" s="197">
        <f>I26*0.3</f>
        <v>269.09999999999997</v>
      </c>
      <c r="I26" s="198">
        <f>D26</f>
        <v>897</v>
      </c>
      <c r="J26" s="194"/>
    </row>
    <row r="27" spans="1:19" ht="16.5" thickBot="1" x14ac:dyDescent="0.3">
      <c r="A27" s="26" t="s">
        <v>402</v>
      </c>
      <c r="B27" t="s">
        <v>194</v>
      </c>
      <c r="C27" t="s">
        <v>26</v>
      </c>
      <c r="D27" s="33"/>
      <c r="E27" s="139"/>
      <c r="F27" s="139"/>
      <c r="G27" s="139"/>
      <c r="H27" s="139">
        <f>I27*0.05</f>
        <v>250</v>
      </c>
      <c r="I27" s="42">
        <f>K62</f>
        <v>5000</v>
      </c>
    </row>
    <row r="28" spans="1:19" ht="16.5" thickBot="1" x14ac:dyDescent="0.3">
      <c r="A28" s="26" t="s">
        <v>38</v>
      </c>
      <c r="B28" t="s">
        <v>404</v>
      </c>
      <c r="C28" t="s">
        <v>405</v>
      </c>
      <c r="D28" s="190">
        <v>350</v>
      </c>
      <c r="E28" s="37"/>
      <c r="F28" s="37"/>
      <c r="G28" s="42"/>
      <c r="H28" s="37">
        <f>I28*0.35</f>
        <v>25725</v>
      </c>
      <c r="I28" s="42">
        <f>K63</f>
        <v>73500</v>
      </c>
      <c r="S28" s="42"/>
    </row>
    <row r="29" spans="1:19" ht="16.5" thickBot="1" x14ac:dyDescent="0.3">
      <c r="A29" s="26" t="s">
        <v>39</v>
      </c>
      <c r="B29" t="s">
        <v>195</v>
      </c>
      <c r="C29" t="s">
        <v>348</v>
      </c>
      <c r="I29" s="4">
        <f>K64</f>
        <v>27000</v>
      </c>
      <c r="S29" s="42"/>
    </row>
    <row r="30" spans="1:19" ht="16.5" thickBot="1" x14ac:dyDescent="0.3">
      <c r="A30" s="17"/>
    </row>
    <row r="31" spans="1:19" ht="32.25" thickBot="1" x14ac:dyDescent="0.3">
      <c r="A31" s="2" t="s">
        <v>6</v>
      </c>
    </row>
    <row r="32" spans="1:19" ht="30" x14ac:dyDescent="0.25">
      <c r="A32" s="144" t="s">
        <v>349</v>
      </c>
    </row>
    <row r="33" spans="1:25" x14ac:dyDescent="0.25">
      <c r="A33" s="22" t="s">
        <v>154</v>
      </c>
      <c r="B33" t="s">
        <v>352</v>
      </c>
      <c r="C33" t="s">
        <v>153</v>
      </c>
      <c r="E33">
        <v>45</v>
      </c>
      <c r="F33">
        <v>5</v>
      </c>
      <c r="G33">
        <v>50</v>
      </c>
    </row>
    <row r="34" spans="1:25" x14ac:dyDescent="0.25">
      <c r="A34" s="22" t="s">
        <v>155</v>
      </c>
      <c r="B34" t="s">
        <v>324</v>
      </c>
      <c r="C34" t="s">
        <v>350</v>
      </c>
      <c r="D34" s="4">
        <f>20000*5</f>
        <v>100000</v>
      </c>
      <c r="E34" s="4"/>
      <c r="F34" s="37">
        <f>I34*0.2</f>
        <v>10000</v>
      </c>
      <c r="G34" s="4"/>
      <c r="H34" s="4">
        <f>I34*0.3</f>
        <v>15000</v>
      </c>
      <c r="I34" s="4">
        <f>K65</f>
        <v>50000</v>
      </c>
    </row>
    <row r="35" spans="1:25" x14ac:dyDescent="0.25">
      <c r="A35" s="163" t="s">
        <v>351</v>
      </c>
      <c r="B35" t="s">
        <v>325</v>
      </c>
      <c r="C35" t="s">
        <v>350</v>
      </c>
      <c r="D35" s="4">
        <f>20000*5</f>
        <v>100000</v>
      </c>
      <c r="E35" s="4"/>
      <c r="F35" s="38">
        <f>I35*0.2</f>
        <v>10000</v>
      </c>
      <c r="G35" s="4"/>
      <c r="H35" s="4">
        <f>I35*0.3</f>
        <v>15000</v>
      </c>
      <c r="I35" s="4">
        <f>K66</f>
        <v>50000</v>
      </c>
    </row>
    <row r="36" spans="1:25" x14ac:dyDescent="0.25">
      <c r="A36" s="145" t="s">
        <v>353</v>
      </c>
      <c r="B36" t="s">
        <v>358</v>
      </c>
      <c r="C36" t="s">
        <v>354</v>
      </c>
      <c r="D36">
        <v>264</v>
      </c>
      <c r="E36" s="4"/>
      <c r="F36" s="4">
        <f>I36*0.15</f>
        <v>7920</v>
      </c>
      <c r="G36" s="4"/>
      <c r="H36" s="4">
        <f>I36*0.3</f>
        <v>15840</v>
      </c>
      <c r="I36" s="4">
        <f>K67</f>
        <v>52800</v>
      </c>
      <c r="K36" s="42"/>
    </row>
    <row r="37" spans="1:25" x14ac:dyDescent="0.25">
      <c r="A37" s="164" t="s">
        <v>355</v>
      </c>
      <c r="B37" t="s">
        <v>361</v>
      </c>
      <c r="C37" t="s">
        <v>356</v>
      </c>
      <c r="F37" s="4">
        <f>I37*0.2</f>
        <v>10560</v>
      </c>
      <c r="H37">
        <f>I37*0.15</f>
        <v>7920</v>
      </c>
      <c r="I37">
        <f>K67</f>
        <v>52800</v>
      </c>
    </row>
    <row r="38" spans="1:25" ht="16.5" thickBot="1" x14ac:dyDescent="0.3">
      <c r="A38" s="165" t="s">
        <v>357</v>
      </c>
      <c r="B38" t="s">
        <v>364</v>
      </c>
      <c r="C38" t="s">
        <v>359</v>
      </c>
      <c r="D38">
        <v>8</v>
      </c>
    </row>
    <row r="39" spans="1:25" ht="16.5" thickBot="1" x14ac:dyDescent="0.3">
      <c r="A39" s="166" t="s">
        <v>360</v>
      </c>
      <c r="B39" t="s">
        <v>368</v>
      </c>
      <c r="C39" s="146" t="s">
        <v>362</v>
      </c>
      <c r="D39">
        <v>40</v>
      </c>
    </row>
    <row r="40" spans="1:25" x14ac:dyDescent="0.25">
      <c r="A40" s="167" t="s">
        <v>363</v>
      </c>
      <c r="B40" t="s">
        <v>373</v>
      </c>
      <c r="C40" t="s">
        <v>365</v>
      </c>
      <c r="D40">
        <v>80</v>
      </c>
      <c r="E40" s="4"/>
      <c r="F40" s="4">
        <f>I40*0.5</f>
        <v>2000</v>
      </c>
      <c r="H40" s="4">
        <f>I40*0.3</f>
        <v>1200</v>
      </c>
      <c r="I40" s="4">
        <f>K69</f>
        <v>4000</v>
      </c>
    </row>
    <row r="41" spans="1:25" ht="16.5" thickBot="1" x14ac:dyDescent="0.3">
      <c r="A41" s="167" t="s">
        <v>371</v>
      </c>
      <c r="B41" t="s">
        <v>374</v>
      </c>
      <c r="C41" t="s">
        <v>372</v>
      </c>
      <c r="D41">
        <f>400*2*5</f>
        <v>4000</v>
      </c>
      <c r="E41" s="4"/>
      <c r="F41" s="4">
        <f>I41*0.3</f>
        <v>12000</v>
      </c>
      <c r="H41" s="4">
        <f>I41*0.5</f>
        <v>20000</v>
      </c>
      <c r="I41" s="4">
        <f>K70</f>
        <v>40000</v>
      </c>
    </row>
    <row r="42" spans="1:25" ht="32.25" thickBot="1" x14ac:dyDescent="0.3">
      <c r="A42" s="40" t="s">
        <v>366</v>
      </c>
      <c r="B42" t="s">
        <v>375</v>
      </c>
      <c r="C42" t="s">
        <v>367</v>
      </c>
      <c r="D42">
        <v>14</v>
      </c>
      <c r="F42">
        <f>I42*0.3</f>
        <v>1080</v>
      </c>
      <c r="H42">
        <f>I42*0.3</f>
        <v>1080</v>
      </c>
      <c r="I42">
        <f>K71</f>
        <v>3600</v>
      </c>
    </row>
    <row r="43" spans="1:25" ht="32.25" thickBot="1" x14ac:dyDescent="0.3">
      <c r="A43" s="41" t="s">
        <v>412</v>
      </c>
    </row>
    <row r="44" spans="1:25" x14ac:dyDescent="0.25">
      <c r="A44" s="22" t="s">
        <v>474</v>
      </c>
      <c r="B44" t="s">
        <v>406</v>
      </c>
      <c r="C44" t="s">
        <v>473</v>
      </c>
      <c r="D44">
        <v>1020</v>
      </c>
      <c r="F44">
        <f>I44*0.5</f>
        <v>5100</v>
      </c>
      <c r="H44">
        <f>I44*0.35</f>
        <v>3570</v>
      </c>
      <c r="I44">
        <f>D44*10</f>
        <v>10200</v>
      </c>
    </row>
    <row r="45" spans="1:25" x14ac:dyDescent="0.25">
      <c r="A45" s="22" t="s">
        <v>475</v>
      </c>
      <c r="B45" t="s">
        <v>407</v>
      </c>
      <c r="C45" t="s">
        <v>156</v>
      </c>
      <c r="D45">
        <v>110</v>
      </c>
      <c r="F45">
        <f>I45*0.5</f>
        <v>1100</v>
      </c>
      <c r="H45">
        <f>I45*0.35</f>
        <v>770</v>
      </c>
      <c r="I45" s="33">
        <f>J73</f>
        <v>2200</v>
      </c>
    </row>
    <row r="46" spans="1:25" ht="16.5" thickBot="1" x14ac:dyDescent="0.3">
      <c r="A46" s="22"/>
      <c r="B46" s="54" t="s">
        <v>414</v>
      </c>
      <c r="C46" s="54"/>
      <c r="D46" s="54"/>
      <c r="E46" s="54"/>
      <c r="F46" s="162"/>
      <c r="G46" s="54"/>
      <c r="H46" s="162">
        <f>SUM(H5:H45)</f>
        <v>157270.59999999998</v>
      </c>
      <c r="I46" s="130">
        <f>SUM(I4:I45)</f>
        <v>470152</v>
      </c>
      <c r="J46" s="171">
        <f>L46*J4</f>
        <v>1122870.8204999999</v>
      </c>
      <c r="K46" s="172">
        <f>L46*K4</f>
        <v>1168239.3385000001</v>
      </c>
      <c r="L46" s="172">
        <f>N46*L4</f>
        <v>2268425.9</v>
      </c>
      <c r="M46" s="170">
        <f>SUM(M10:M45)</f>
        <v>130827.3</v>
      </c>
      <c r="N46" s="131">
        <f>SUM(N4:N45)</f>
        <v>348988.6</v>
      </c>
      <c r="O46" s="173">
        <f>E48+K48</f>
        <v>1489989.3385000001</v>
      </c>
      <c r="P46" s="172">
        <f>K46+F48</f>
        <v>1502989.3385000001</v>
      </c>
      <c r="Q46" s="172">
        <f>L46+G48</f>
        <v>2918425.9</v>
      </c>
      <c r="R46" s="200">
        <f>(H48*6.5)+(M46*6.5)</f>
        <v>1175377.4500000002</v>
      </c>
      <c r="S46" s="131">
        <f>I48+N48</f>
        <v>448988.6</v>
      </c>
      <c r="U46" t="s">
        <v>484</v>
      </c>
      <c r="V46" s="8">
        <f>'Basic Facts'!B2</f>
        <v>9313800</v>
      </c>
      <c r="W46" s="4">
        <v>650000</v>
      </c>
      <c r="X46" s="5">
        <f>W46/V46</f>
        <v>6.9788915372887547E-2</v>
      </c>
      <c r="Y46" t="s">
        <v>488</v>
      </c>
    </row>
    <row r="47" spans="1:25" x14ac:dyDescent="0.25">
      <c r="A47" s="22"/>
      <c r="B47" s="13" t="s">
        <v>417</v>
      </c>
      <c r="H47" s="13"/>
      <c r="I47" s="134">
        <f>300*400</f>
        <v>120000</v>
      </c>
      <c r="N47" s="134"/>
      <c r="S47" s="134"/>
      <c r="U47" t="s">
        <v>485</v>
      </c>
      <c r="V47">
        <f>'Revised data on 21 districts'!F23</f>
        <v>2778313</v>
      </c>
      <c r="W47" s="4">
        <v>650000</v>
      </c>
      <c r="X47" s="5">
        <f>W47/V47</f>
        <v>0.23395492156571271</v>
      </c>
      <c r="Y47" t="s">
        <v>489</v>
      </c>
    </row>
    <row r="48" spans="1:25" ht="16.5" thickBot="1" x14ac:dyDescent="0.3">
      <c r="A48" s="22"/>
      <c r="B48" s="13" t="s">
        <v>415</v>
      </c>
      <c r="E48" s="169">
        <f>G48*E4</f>
        <v>321750</v>
      </c>
      <c r="F48" s="169">
        <f>G48*F4</f>
        <v>334750</v>
      </c>
      <c r="G48" s="134">
        <f>I48*G4</f>
        <v>650000</v>
      </c>
      <c r="H48" s="180">
        <f>H22</f>
        <v>50000</v>
      </c>
      <c r="I48" s="168">
        <v>100000</v>
      </c>
      <c r="J48" s="171">
        <f t="shared" ref="J48:Q48" si="1">J46</f>
        <v>1122870.8204999999</v>
      </c>
      <c r="K48" s="178">
        <f t="shared" si="1"/>
        <v>1168239.3385000001</v>
      </c>
      <c r="L48" s="178">
        <f>L46</f>
        <v>2268425.9</v>
      </c>
      <c r="M48" s="182">
        <f t="shared" si="1"/>
        <v>130827.3</v>
      </c>
      <c r="N48" s="134">
        <f t="shared" si="1"/>
        <v>348988.6</v>
      </c>
      <c r="O48" s="173">
        <f t="shared" si="1"/>
        <v>1489989.3385000001</v>
      </c>
      <c r="P48" s="174">
        <f t="shared" si="1"/>
        <v>1502989.3385000001</v>
      </c>
      <c r="Q48" s="172">
        <f t="shared" si="1"/>
        <v>2918425.9</v>
      </c>
      <c r="R48" s="181">
        <f>H48+M48</f>
        <v>180827.3</v>
      </c>
      <c r="S48" s="131">
        <f>S46</f>
        <v>448988.6</v>
      </c>
      <c r="U48" t="s">
        <v>486</v>
      </c>
      <c r="V48" s="178"/>
      <c r="W48" s="8">
        <v>650000</v>
      </c>
    </row>
    <row r="49" spans="1:25" x14ac:dyDescent="0.25">
      <c r="A49" s="22"/>
      <c r="B49" s="13" t="s">
        <v>416</v>
      </c>
      <c r="H49" s="13" t="s">
        <v>421</v>
      </c>
      <c r="N49" s="134"/>
      <c r="R49" s="37">
        <f>R48*6.5</f>
        <v>1175377.45</v>
      </c>
      <c r="S49" s="134"/>
      <c r="U49" t="s">
        <v>487</v>
      </c>
      <c r="W49" s="37">
        <f>L46</f>
        <v>2268425.9</v>
      </c>
      <c r="X49" s="5">
        <f>W49/V46</f>
        <v>0.24355535871502501</v>
      </c>
      <c r="Y49" t="s">
        <v>490</v>
      </c>
    </row>
    <row r="50" spans="1:25" x14ac:dyDescent="0.25">
      <c r="A50" s="22"/>
      <c r="J50" t="s">
        <v>30</v>
      </c>
      <c r="K50" t="s">
        <v>276</v>
      </c>
      <c r="L50" t="s">
        <v>337</v>
      </c>
      <c r="N50" t="s">
        <v>24</v>
      </c>
      <c r="R50" s="13" t="s">
        <v>420</v>
      </c>
      <c r="U50" t="s">
        <v>24</v>
      </c>
      <c r="W50" s="37">
        <f>Q48</f>
        <v>2918425.9</v>
      </c>
      <c r="X50" s="5">
        <f>W50/V46</f>
        <v>0.31334427408791254</v>
      </c>
      <c r="Y50" t="s">
        <v>491</v>
      </c>
    </row>
    <row r="51" spans="1:25" ht="47.25" x14ac:dyDescent="0.25">
      <c r="A51" s="126" t="s">
        <v>336</v>
      </c>
      <c r="J51">
        <v>12</v>
      </c>
      <c r="K51">
        <f>500*5</f>
        <v>2500</v>
      </c>
      <c r="N51" s="4"/>
      <c r="O51" s="245"/>
      <c r="P51" s="245"/>
      <c r="Q51" s="245"/>
      <c r="R51" s="245"/>
      <c r="S51" s="245"/>
      <c r="T51" s="245"/>
      <c r="U51" t="s">
        <v>492</v>
      </c>
      <c r="W51">
        <f>650000*0.6*0.5</f>
        <v>195000</v>
      </c>
    </row>
    <row r="52" spans="1:25" ht="31.5" x14ac:dyDescent="0.25">
      <c r="A52" s="126" t="s">
        <v>578</v>
      </c>
      <c r="G52" s="8">
        <v>172668</v>
      </c>
      <c r="H52" s="8"/>
      <c r="I52" s="11">
        <v>0.2</v>
      </c>
      <c r="K52" s="221">
        <f>G52*I52</f>
        <v>34533.599999999999</v>
      </c>
      <c r="L52" s="11">
        <v>0.2</v>
      </c>
      <c r="M52" s="11"/>
      <c r="N52" s="4">
        <f>400*290</f>
        <v>116000</v>
      </c>
      <c r="Q52" t="s">
        <v>481</v>
      </c>
      <c r="R52" s="201">
        <f>R46*0.515</f>
        <v>605319.38675000006</v>
      </c>
      <c r="T52" s="36">
        <f>S46*6.5</f>
        <v>2918425.9</v>
      </c>
    </row>
    <row r="53" spans="1:25" ht="31.5" x14ac:dyDescent="0.25">
      <c r="A53" s="126" t="s">
        <v>159</v>
      </c>
      <c r="G53" s="4">
        <f>172668</f>
        <v>172668</v>
      </c>
      <c r="H53" s="4"/>
      <c r="I53" s="11">
        <v>0.3</v>
      </c>
      <c r="K53" s="221">
        <f>G53*I53</f>
        <v>51800.4</v>
      </c>
      <c r="N53" s="4"/>
    </row>
    <row r="54" spans="1:25" ht="31.5" x14ac:dyDescent="0.25">
      <c r="A54" s="126" t="s">
        <v>338</v>
      </c>
      <c r="G54" s="4">
        <f>172668</f>
        <v>172668</v>
      </c>
      <c r="H54" s="4"/>
      <c r="I54" s="11">
        <v>0.5</v>
      </c>
      <c r="J54" s="11">
        <v>0.8</v>
      </c>
      <c r="K54" s="221">
        <f>G54*I54*J54</f>
        <v>69067.199999999997</v>
      </c>
      <c r="N54" s="4"/>
    </row>
    <row r="55" spans="1:25" ht="47.25" x14ac:dyDescent="0.25">
      <c r="A55" s="126" t="s">
        <v>579</v>
      </c>
      <c r="G55" s="42">
        <f>'Vllage data'!G23</f>
        <v>318479</v>
      </c>
      <c r="H55" s="42"/>
      <c r="I55" s="11">
        <v>0.6</v>
      </c>
      <c r="J55" s="11"/>
      <c r="K55" s="221">
        <f>G55*I55</f>
        <v>191087.4</v>
      </c>
      <c r="N55" s="4"/>
    </row>
    <row r="56" spans="1:25" ht="31.5" x14ac:dyDescent="0.25">
      <c r="A56" s="126" t="s">
        <v>339</v>
      </c>
      <c r="N56" s="4"/>
    </row>
    <row r="57" spans="1:25" ht="31.5" x14ac:dyDescent="0.25">
      <c r="A57" s="126" t="s">
        <v>326</v>
      </c>
    </row>
    <row r="58" spans="1:25" ht="47.25" x14ac:dyDescent="0.25">
      <c r="A58" s="126" t="s">
        <v>525</v>
      </c>
      <c r="G58">
        <v>300</v>
      </c>
      <c r="I58">
        <v>400</v>
      </c>
      <c r="J58" s="11">
        <v>0.8</v>
      </c>
      <c r="K58" s="4">
        <f>G58*I58*J58</f>
        <v>96000</v>
      </c>
    </row>
    <row r="59" spans="1:25" x14ac:dyDescent="0.25">
      <c r="A59" s="126" t="s">
        <v>399</v>
      </c>
      <c r="F59" t="s">
        <v>341</v>
      </c>
      <c r="G59" s="33">
        <v>2832</v>
      </c>
      <c r="H59" s="33"/>
      <c r="J59" s="11"/>
      <c r="K59" s="4">
        <v>105</v>
      </c>
    </row>
    <row r="60" spans="1:25" x14ac:dyDescent="0.25">
      <c r="A60" s="126" t="s">
        <v>400</v>
      </c>
      <c r="G60" s="33">
        <v>4201</v>
      </c>
      <c r="H60" s="33"/>
      <c r="J60" s="11"/>
      <c r="K60" s="4">
        <v>0</v>
      </c>
    </row>
    <row r="61" spans="1:25" x14ac:dyDescent="0.25">
      <c r="A61" s="126" t="s">
        <v>403</v>
      </c>
      <c r="G61" s="33"/>
      <c r="H61" s="33"/>
      <c r="J61" s="11"/>
      <c r="K61" s="4"/>
    </row>
    <row r="62" spans="1:25" ht="63" x14ac:dyDescent="0.25">
      <c r="A62" s="126" t="s">
        <v>413</v>
      </c>
      <c r="C62">
        <v>20</v>
      </c>
      <c r="D62">
        <v>250</v>
      </c>
      <c r="E62">
        <f>C62*D62</f>
        <v>5000</v>
      </c>
      <c r="G62" s="33"/>
      <c r="H62" s="33"/>
      <c r="J62" s="11"/>
      <c r="K62" s="4">
        <f>E62</f>
        <v>5000</v>
      </c>
    </row>
    <row r="63" spans="1:25" ht="31.5" x14ac:dyDescent="0.25">
      <c r="A63" s="126" t="s">
        <v>530</v>
      </c>
      <c r="G63">
        <v>300</v>
      </c>
      <c r="I63" s="33">
        <v>350</v>
      </c>
      <c r="J63" s="52">
        <v>0.7</v>
      </c>
      <c r="K63" s="4">
        <f>G63*I63*J63</f>
        <v>73500</v>
      </c>
      <c r="L63" s="42"/>
      <c r="M63" s="42"/>
    </row>
    <row r="64" spans="1:25" ht="31.5" x14ac:dyDescent="0.25">
      <c r="A64" s="126" t="s">
        <v>480</v>
      </c>
      <c r="G64">
        <v>300</v>
      </c>
      <c r="I64">
        <v>300</v>
      </c>
      <c r="J64" s="11">
        <v>0.3</v>
      </c>
      <c r="K64" s="4">
        <f>G64*I64*J64</f>
        <v>27000</v>
      </c>
    </row>
    <row r="65" spans="1:11" ht="63" x14ac:dyDescent="0.25">
      <c r="A65" s="126" t="s">
        <v>408</v>
      </c>
      <c r="G65">
        <v>20000</v>
      </c>
      <c r="H65">
        <v>5</v>
      </c>
      <c r="I65">
        <f>G65*H65</f>
        <v>100000</v>
      </c>
      <c r="K65">
        <f>I65/2</f>
        <v>50000</v>
      </c>
    </row>
    <row r="66" spans="1:11" ht="63" x14ac:dyDescent="0.25">
      <c r="A66" s="126" t="s">
        <v>409</v>
      </c>
      <c r="G66">
        <v>20000</v>
      </c>
      <c r="H66">
        <v>5</v>
      </c>
      <c r="I66">
        <f>G66*H66</f>
        <v>100000</v>
      </c>
      <c r="K66">
        <f>I66/2</f>
        <v>50000</v>
      </c>
    </row>
    <row r="67" spans="1:11" ht="63" x14ac:dyDescent="0.25">
      <c r="A67" s="199" t="s">
        <v>478</v>
      </c>
      <c r="G67">
        <v>132</v>
      </c>
      <c r="H67">
        <f>G67*2</f>
        <v>264</v>
      </c>
      <c r="I67">
        <v>200</v>
      </c>
      <c r="K67">
        <f>H67*I67</f>
        <v>52800</v>
      </c>
    </row>
    <row r="68" spans="1:11" ht="63" x14ac:dyDescent="0.25">
      <c r="A68" s="126" t="s">
        <v>410</v>
      </c>
      <c r="B68">
        <v>400</v>
      </c>
      <c r="C68">
        <v>20</v>
      </c>
      <c r="D68">
        <v>5</v>
      </c>
      <c r="E68">
        <v>2</v>
      </c>
      <c r="G68">
        <f>400</f>
        <v>400</v>
      </c>
      <c r="H68">
        <v>20</v>
      </c>
      <c r="I68">
        <f>5</f>
        <v>5</v>
      </c>
      <c r="J68">
        <v>2</v>
      </c>
      <c r="K68">
        <f>(B68*C68*D68)/2</f>
        <v>20000</v>
      </c>
    </row>
    <row r="69" spans="1:11" ht="94.5" x14ac:dyDescent="0.25">
      <c r="A69" s="126" t="s">
        <v>471</v>
      </c>
      <c r="G69">
        <v>80</v>
      </c>
      <c r="H69">
        <v>50</v>
      </c>
      <c r="K69">
        <f>G69*H69</f>
        <v>4000</v>
      </c>
    </row>
    <row r="70" spans="1:11" ht="47.25" x14ac:dyDescent="0.25">
      <c r="A70" s="126" t="s">
        <v>411</v>
      </c>
      <c r="K70">
        <f>400*10*5*2</f>
        <v>40000</v>
      </c>
    </row>
    <row r="71" spans="1:11" ht="31.5" x14ac:dyDescent="0.25">
      <c r="A71" s="126" t="s">
        <v>472</v>
      </c>
      <c r="C71">
        <f>200*8</f>
        <v>1600</v>
      </c>
      <c r="D71" t="s">
        <v>369</v>
      </c>
      <c r="G71" t="s">
        <v>370</v>
      </c>
      <c r="H71">
        <v>2000</v>
      </c>
      <c r="K71">
        <v>3600</v>
      </c>
    </row>
    <row r="72" spans="1:11" x14ac:dyDescent="0.25">
      <c r="A72" t="s">
        <v>477</v>
      </c>
      <c r="G72">
        <v>1020</v>
      </c>
      <c r="I72">
        <v>10</v>
      </c>
      <c r="J72">
        <f>G72*I72</f>
        <v>10200</v>
      </c>
    </row>
    <row r="73" spans="1:11" x14ac:dyDescent="0.25">
      <c r="A73" t="s">
        <v>476</v>
      </c>
      <c r="G73">
        <v>110</v>
      </c>
      <c r="I73">
        <v>20</v>
      </c>
      <c r="J73" s="33">
        <f>G73*I73</f>
        <v>2200</v>
      </c>
    </row>
    <row r="76" spans="1:11" x14ac:dyDescent="0.25">
      <c r="J76" t="s">
        <v>343</v>
      </c>
      <c r="K76" t="s">
        <v>345</v>
      </c>
    </row>
    <row r="81" spans="1:10" x14ac:dyDescent="0.25">
      <c r="A81" t="s">
        <v>340</v>
      </c>
      <c r="F81" t="s">
        <v>341</v>
      </c>
      <c r="G81" s="33">
        <v>2832</v>
      </c>
      <c r="I81" s="11">
        <v>0.3</v>
      </c>
      <c r="J81">
        <f>G81*0.3</f>
        <v>849.6</v>
      </c>
    </row>
    <row r="82" spans="1:10" x14ac:dyDescent="0.25">
      <c r="A82" t="s">
        <v>342</v>
      </c>
      <c r="G82" s="33">
        <v>4201</v>
      </c>
      <c r="I82" s="11">
        <v>0.3</v>
      </c>
      <c r="J82">
        <f>G82*0.3</f>
        <v>1260.3</v>
      </c>
    </row>
    <row r="83" spans="1:10" x14ac:dyDescent="0.25">
      <c r="J83">
        <f>SUM(J80:J82)</f>
        <v>2109.9</v>
      </c>
    </row>
  </sheetData>
  <mergeCells count="5">
    <mergeCell ref="J2:L2"/>
    <mergeCell ref="E2:G2"/>
    <mergeCell ref="O2:Q2"/>
    <mergeCell ref="O51:T51"/>
    <mergeCell ref="A1:K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0315D-5C13-B747-86EB-154E2E51BF31}">
  <dimension ref="A1:F78"/>
  <sheetViews>
    <sheetView workbookViewId="0">
      <selection sqref="A1:F1"/>
    </sheetView>
  </sheetViews>
  <sheetFormatPr defaultColWidth="11" defaultRowHeight="15.75" x14ac:dyDescent="0.25"/>
  <cols>
    <col min="6" max="6" width="11.5" bestFit="1" customWidth="1"/>
  </cols>
  <sheetData>
    <row r="1" spans="1:6" x14ac:dyDescent="0.25">
      <c r="A1" s="276" t="s">
        <v>197</v>
      </c>
      <c r="B1" s="276"/>
      <c r="C1" s="276"/>
      <c r="D1" s="276"/>
      <c r="E1" s="276"/>
      <c r="F1" s="276"/>
    </row>
    <row r="2" spans="1:6" x14ac:dyDescent="0.25">
      <c r="A2" s="277" t="s">
        <v>198</v>
      </c>
      <c r="B2" s="277" t="s">
        <v>198</v>
      </c>
      <c r="C2" s="277" t="s">
        <v>199</v>
      </c>
      <c r="D2" s="279" t="s">
        <v>200</v>
      </c>
      <c r="E2" s="280"/>
      <c r="F2" s="281" t="s">
        <v>201</v>
      </c>
    </row>
    <row r="3" spans="1:6" ht="30" x14ac:dyDescent="0.25">
      <c r="A3" s="278"/>
      <c r="B3" s="278"/>
      <c r="C3" s="278"/>
      <c r="D3" s="56" t="s">
        <v>24</v>
      </c>
      <c r="E3" s="57" t="s">
        <v>202</v>
      </c>
      <c r="F3" s="282"/>
    </row>
    <row r="4" spans="1:6" x14ac:dyDescent="0.25">
      <c r="A4" s="268" t="s">
        <v>203</v>
      </c>
      <c r="B4" s="269"/>
      <c r="C4" s="269"/>
      <c r="D4" s="269"/>
      <c r="E4" s="269"/>
      <c r="F4" s="269"/>
    </row>
    <row r="5" spans="1:6" x14ac:dyDescent="0.25">
      <c r="A5" s="58">
        <v>1</v>
      </c>
      <c r="B5" s="59">
        <v>1</v>
      </c>
      <c r="C5" s="60" t="s">
        <v>204</v>
      </c>
      <c r="D5" s="61">
        <v>42744</v>
      </c>
      <c r="E5" s="61">
        <v>22213</v>
      </c>
      <c r="F5" s="61">
        <v>103750</v>
      </c>
    </row>
    <row r="6" spans="1:6" x14ac:dyDescent="0.25">
      <c r="A6" s="58">
        <v>2</v>
      </c>
      <c r="B6" s="59">
        <v>2</v>
      </c>
      <c r="C6" s="60" t="s">
        <v>205</v>
      </c>
      <c r="D6" s="61">
        <v>17798</v>
      </c>
      <c r="E6" s="61">
        <v>9065</v>
      </c>
      <c r="F6" s="61">
        <v>73168</v>
      </c>
    </row>
    <row r="7" spans="1:6" x14ac:dyDescent="0.25">
      <c r="A7" s="58">
        <v>3</v>
      </c>
      <c r="B7" s="59">
        <v>3</v>
      </c>
      <c r="C7" s="60" t="s">
        <v>206</v>
      </c>
      <c r="D7" s="61">
        <v>30746</v>
      </c>
      <c r="E7" s="61">
        <v>15324</v>
      </c>
      <c r="F7" s="61">
        <v>67169</v>
      </c>
    </row>
    <row r="8" spans="1:6" x14ac:dyDescent="0.25">
      <c r="A8" s="58">
        <v>4</v>
      </c>
      <c r="B8" s="59">
        <v>4</v>
      </c>
      <c r="C8" s="60" t="s">
        <v>207</v>
      </c>
      <c r="D8" s="61">
        <v>31146</v>
      </c>
      <c r="E8" s="61">
        <v>22600</v>
      </c>
      <c r="F8" s="61">
        <v>99174</v>
      </c>
    </row>
    <row r="9" spans="1:6" x14ac:dyDescent="0.25">
      <c r="A9" s="58">
        <v>5</v>
      </c>
      <c r="B9" s="59">
        <v>5</v>
      </c>
      <c r="C9" s="60" t="s">
        <v>208</v>
      </c>
      <c r="D9" s="61">
        <v>75674</v>
      </c>
      <c r="E9" s="61">
        <v>36025</v>
      </c>
      <c r="F9" s="61">
        <v>166898</v>
      </c>
    </row>
    <row r="10" spans="1:6" x14ac:dyDescent="0.25">
      <c r="A10" s="58">
        <v>6</v>
      </c>
      <c r="B10" s="59">
        <v>6</v>
      </c>
      <c r="C10" s="60" t="s">
        <v>209</v>
      </c>
      <c r="D10" s="61">
        <v>28227</v>
      </c>
      <c r="E10" s="61">
        <v>14582</v>
      </c>
      <c r="F10" s="61">
        <v>134365</v>
      </c>
    </row>
    <row r="11" spans="1:6" x14ac:dyDescent="0.25">
      <c r="A11" s="58">
        <v>7</v>
      </c>
      <c r="B11" s="59">
        <v>7</v>
      </c>
      <c r="C11" s="60" t="s">
        <v>210</v>
      </c>
      <c r="D11" s="61">
        <v>19275</v>
      </c>
      <c r="E11" s="61">
        <v>11914</v>
      </c>
      <c r="F11" s="61">
        <v>67112</v>
      </c>
    </row>
    <row r="12" spans="1:6" x14ac:dyDescent="0.25">
      <c r="A12" s="58">
        <v>8</v>
      </c>
      <c r="B12" s="59">
        <v>8</v>
      </c>
      <c r="C12" s="60" t="s">
        <v>211</v>
      </c>
      <c r="D12" s="61">
        <v>75891</v>
      </c>
      <c r="E12" s="61">
        <v>38124</v>
      </c>
      <c r="F12" s="61">
        <v>184738</v>
      </c>
    </row>
    <row r="13" spans="1:6" x14ac:dyDescent="0.25">
      <c r="A13" s="58">
        <v>9</v>
      </c>
      <c r="B13" s="59">
        <v>9</v>
      </c>
      <c r="C13" s="60" t="s">
        <v>212</v>
      </c>
      <c r="D13" s="61">
        <v>79869</v>
      </c>
      <c r="E13" s="61">
        <v>45208</v>
      </c>
      <c r="F13" s="61">
        <v>156886</v>
      </c>
    </row>
    <row r="14" spans="1:6" x14ac:dyDescent="0.25">
      <c r="A14" s="58">
        <v>10</v>
      </c>
      <c r="B14" s="59">
        <v>10</v>
      </c>
      <c r="C14" s="60" t="s">
        <v>213</v>
      </c>
      <c r="D14" s="61">
        <v>71649</v>
      </c>
      <c r="E14" s="61">
        <v>33874</v>
      </c>
      <c r="F14" s="62">
        <v>114893</v>
      </c>
    </row>
    <row r="15" spans="1:6" x14ac:dyDescent="0.25">
      <c r="A15" s="58">
        <v>11</v>
      </c>
      <c r="B15" s="59">
        <v>11</v>
      </c>
      <c r="C15" s="63" t="s">
        <v>214</v>
      </c>
      <c r="D15" s="61">
        <v>72570</v>
      </c>
      <c r="E15" s="61">
        <v>42397</v>
      </c>
      <c r="F15" s="64">
        <v>123392</v>
      </c>
    </row>
    <row r="16" spans="1:6" x14ac:dyDescent="0.25">
      <c r="A16" s="58">
        <v>12</v>
      </c>
      <c r="B16" s="59">
        <v>12</v>
      </c>
      <c r="C16" s="60" t="s">
        <v>215</v>
      </c>
      <c r="D16" s="61">
        <v>27978</v>
      </c>
      <c r="E16" s="61">
        <v>13902</v>
      </c>
      <c r="F16" s="61">
        <v>48032</v>
      </c>
    </row>
    <row r="17" spans="1:6" x14ac:dyDescent="0.25">
      <c r="A17" s="58">
        <v>13</v>
      </c>
      <c r="B17" s="59">
        <v>13</v>
      </c>
      <c r="C17" s="63" t="s">
        <v>216</v>
      </c>
      <c r="D17" s="61">
        <v>32640</v>
      </c>
      <c r="E17" s="61">
        <v>17000</v>
      </c>
      <c r="F17" s="61">
        <v>117502</v>
      </c>
    </row>
    <row r="18" spans="1:6" x14ac:dyDescent="0.25">
      <c r="A18" s="270" t="s">
        <v>217</v>
      </c>
      <c r="B18" s="271"/>
      <c r="C18" s="272"/>
      <c r="D18" s="65">
        <v>606207</v>
      </c>
      <c r="E18" s="65">
        <v>322228</v>
      </c>
      <c r="F18" s="65">
        <v>1457079</v>
      </c>
    </row>
    <row r="19" spans="1:6" x14ac:dyDescent="0.25">
      <c r="A19" s="58">
        <v>14</v>
      </c>
      <c r="B19" s="59">
        <v>1</v>
      </c>
      <c r="C19" s="66" t="s">
        <v>218</v>
      </c>
      <c r="D19" s="61">
        <v>27674</v>
      </c>
      <c r="E19" s="61">
        <v>20465</v>
      </c>
      <c r="F19" s="61">
        <v>48670</v>
      </c>
    </row>
    <row r="20" spans="1:6" x14ac:dyDescent="0.25">
      <c r="A20" s="58">
        <v>15</v>
      </c>
      <c r="B20" s="59">
        <v>2</v>
      </c>
      <c r="C20" s="66" t="s">
        <v>219</v>
      </c>
      <c r="D20" s="61">
        <v>35652</v>
      </c>
      <c r="E20" s="61">
        <v>22218</v>
      </c>
      <c r="F20" s="61">
        <v>65020</v>
      </c>
    </row>
    <row r="21" spans="1:6" x14ac:dyDescent="0.25">
      <c r="A21" s="58">
        <v>16</v>
      </c>
      <c r="B21" s="59">
        <v>3</v>
      </c>
      <c r="C21" s="66" t="s">
        <v>177</v>
      </c>
      <c r="D21" s="61">
        <v>24868</v>
      </c>
      <c r="E21" s="61">
        <v>10101</v>
      </c>
      <c r="F21" s="61">
        <v>35599</v>
      </c>
    </row>
    <row r="22" spans="1:6" x14ac:dyDescent="0.25">
      <c r="A22" s="58">
        <v>17</v>
      </c>
      <c r="B22" s="59">
        <v>4</v>
      </c>
      <c r="C22" s="66" t="s">
        <v>220</v>
      </c>
      <c r="D22" s="61">
        <v>34351</v>
      </c>
      <c r="E22" s="61">
        <v>12984</v>
      </c>
      <c r="F22" s="61">
        <v>101796</v>
      </c>
    </row>
    <row r="23" spans="1:6" x14ac:dyDescent="0.25">
      <c r="A23" s="58">
        <v>18</v>
      </c>
      <c r="B23" s="59">
        <v>5</v>
      </c>
      <c r="C23" s="66" t="s">
        <v>221</v>
      </c>
      <c r="D23" s="61">
        <v>39210</v>
      </c>
      <c r="E23" s="61">
        <v>23104</v>
      </c>
      <c r="F23" s="61">
        <v>125675</v>
      </c>
    </row>
    <row r="24" spans="1:6" x14ac:dyDescent="0.25">
      <c r="A24" s="58">
        <v>19</v>
      </c>
      <c r="B24" s="59">
        <v>6</v>
      </c>
      <c r="C24" s="66" t="s">
        <v>222</v>
      </c>
      <c r="D24" s="61">
        <v>46816</v>
      </c>
      <c r="E24" s="61">
        <v>24511</v>
      </c>
      <c r="F24" s="61">
        <v>97526</v>
      </c>
    </row>
    <row r="25" spans="1:6" x14ac:dyDescent="0.25">
      <c r="A25" s="58">
        <v>20</v>
      </c>
      <c r="B25" s="59">
        <v>7</v>
      </c>
      <c r="C25" s="66" t="s">
        <v>223</v>
      </c>
      <c r="D25" s="61">
        <v>25911</v>
      </c>
      <c r="E25" s="61">
        <v>12322</v>
      </c>
      <c r="F25" s="61">
        <v>47784</v>
      </c>
    </row>
    <row r="26" spans="1:6" x14ac:dyDescent="0.25">
      <c r="A26" s="58">
        <v>21</v>
      </c>
      <c r="B26" s="59">
        <v>8</v>
      </c>
      <c r="C26" s="66" t="s">
        <v>224</v>
      </c>
      <c r="D26" s="61">
        <v>70830</v>
      </c>
      <c r="E26" s="61">
        <v>32407</v>
      </c>
      <c r="F26" s="61">
        <v>406508</v>
      </c>
    </row>
    <row r="27" spans="1:6" x14ac:dyDescent="0.25">
      <c r="A27" s="58">
        <v>22</v>
      </c>
      <c r="B27" s="59">
        <v>9</v>
      </c>
      <c r="C27" s="66" t="s">
        <v>225</v>
      </c>
      <c r="D27" s="61">
        <v>55380</v>
      </c>
      <c r="E27" s="61">
        <v>23745</v>
      </c>
      <c r="F27" s="61">
        <v>117252</v>
      </c>
    </row>
    <row r="28" spans="1:6" x14ac:dyDescent="0.25">
      <c r="A28" s="58">
        <v>23</v>
      </c>
      <c r="B28" s="59">
        <v>10</v>
      </c>
      <c r="C28" s="66" t="s">
        <v>226</v>
      </c>
      <c r="D28" s="61">
        <v>29341</v>
      </c>
      <c r="E28" s="61">
        <v>15997</v>
      </c>
      <c r="F28" s="61">
        <v>75401</v>
      </c>
    </row>
    <row r="29" spans="1:6" x14ac:dyDescent="0.25">
      <c r="A29" s="262" t="s">
        <v>227</v>
      </c>
      <c r="B29" s="263"/>
      <c r="C29" s="264"/>
      <c r="D29" s="65">
        <v>390033</v>
      </c>
      <c r="E29" s="65">
        <v>197854</v>
      </c>
      <c r="F29" s="65">
        <v>1121231</v>
      </c>
    </row>
    <row r="30" spans="1:6" x14ac:dyDescent="0.25">
      <c r="A30" s="67">
        <v>24</v>
      </c>
      <c r="B30" s="68">
        <v>1</v>
      </c>
      <c r="C30" s="69" t="s">
        <v>228</v>
      </c>
      <c r="D30" s="61">
        <v>3845</v>
      </c>
      <c r="E30" s="61">
        <v>1983</v>
      </c>
      <c r="F30" s="61">
        <v>5875</v>
      </c>
    </row>
    <row r="31" spans="1:6" x14ac:dyDescent="0.25">
      <c r="A31" s="58">
        <v>25</v>
      </c>
      <c r="B31" s="59">
        <v>2</v>
      </c>
      <c r="C31" s="66" t="s">
        <v>229</v>
      </c>
      <c r="D31" s="61">
        <v>18109</v>
      </c>
      <c r="E31" s="61">
        <v>9025</v>
      </c>
      <c r="F31" s="61">
        <v>40341</v>
      </c>
    </row>
    <row r="32" spans="1:6" x14ac:dyDescent="0.25">
      <c r="A32" s="67">
        <v>26</v>
      </c>
      <c r="B32" s="68">
        <v>3</v>
      </c>
      <c r="C32" s="66" t="s">
        <v>230</v>
      </c>
      <c r="D32" s="61">
        <v>69352</v>
      </c>
      <c r="E32" s="61">
        <v>38942</v>
      </c>
      <c r="F32" s="61">
        <v>78513</v>
      </c>
    </row>
    <row r="33" spans="1:6" x14ac:dyDescent="0.25">
      <c r="A33" s="58">
        <v>27</v>
      </c>
      <c r="B33" s="59">
        <v>4</v>
      </c>
      <c r="C33" s="66" t="s">
        <v>231</v>
      </c>
      <c r="D33" s="61">
        <v>36934</v>
      </c>
      <c r="E33" s="61">
        <v>12107</v>
      </c>
      <c r="F33" s="61">
        <v>85300</v>
      </c>
    </row>
    <row r="34" spans="1:6" x14ac:dyDescent="0.25">
      <c r="A34" s="67">
        <v>28</v>
      </c>
      <c r="B34" s="68">
        <v>5</v>
      </c>
      <c r="C34" s="66" t="s">
        <v>184</v>
      </c>
      <c r="D34" s="61">
        <v>41691</v>
      </c>
      <c r="E34" s="61">
        <v>19406</v>
      </c>
      <c r="F34" s="61">
        <v>68560</v>
      </c>
    </row>
    <row r="35" spans="1:6" x14ac:dyDescent="0.25">
      <c r="A35" s="58">
        <v>29</v>
      </c>
      <c r="B35" s="59">
        <v>6</v>
      </c>
      <c r="C35" s="66" t="s">
        <v>232</v>
      </c>
      <c r="D35" s="61">
        <v>40370</v>
      </c>
      <c r="E35" s="61">
        <v>22697</v>
      </c>
      <c r="F35" s="61">
        <v>67035</v>
      </c>
    </row>
    <row r="36" spans="1:6" x14ac:dyDescent="0.25">
      <c r="A36" s="67">
        <v>30</v>
      </c>
      <c r="B36" s="68">
        <v>7</v>
      </c>
      <c r="C36" s="66" t="s">
        <v>233</v>
      </c>
      <c r="D36" s="61">
        <v>48962</v>
      </c>
      <c r="E36" s="61">
        <v>27841</v>
      </c>
      <c r="F36" s="61">
        <v>113511</v>
      </c>
    </row>
    <row r="37" spans="1:6" x14ac:dyDescent="0.25">
      <c r="A37" s="58">
        <v>31</v>
      </c>
      <c r="B37" s="59">
        <v>8</v>
      </c>
      <c r="C37" s="66" t="s">
        <v>234</v>
      </c>
      <c r="D37" s="61">
        <v>56483</v>
      </c>
      <c r="E37" s="61">
        <v>31762</v>
      </c>
      <c r="F37" s="61">
        <v>112298</v>
      </c>
    </row>
    <row r="38" spans="1:6" x14ac:dyDescent="0.25">
      <c r="A38" s="67">
        <v>32</v>
      </c>
      <c r="B38" s="68">
        <v>9</v>
      </c>
      <c r="C38" s="66" t="s">
        <v>235</v>
      </c>
      <c r="D38" s="61">
        <v>39368</v>
      </c>
      <c r="E38" s="61">
        <v>17823</v>
      </c>
      <c r="F38" s="61">
        <v>56210</v>
      </c>
    </row>
    <row r="39" spans="1:6" x14ac:dyDescent="0.25">
      <c r="A39" s="58">
        <v>33</v>
      </c>
      <c r="B39" s="59">
        <v>10</v>
      </c>
      <c r="C39" s="66" t="s">
        <v>236</v>
      </c>
      <c r="D39" s="61">
        <v>42892</v>
      </c>
      <c r="E39" s="61">
        <v>24839</v>
      </c>
      <c r="F39" s="61">
        <v>92906</v>
      </c>
    </row>
    <row r="40" spans="1:6" x14ac:dyDescent="0.25">
      <c r="A40" s="67">
        <v>34</v>
      </c>
      <c r="B40" s="68">
        <v>11</v>
      </c>
      <c r="C40" s="66" t="s">
        <v>237</v>
      </c>
      <c r="D40" s="61">
        <v>7438</v>
      </c>
      <c r="E40" s="61">
        <v>3540</v>
      </c>
      <c r="F40" s="61">
        <v>29015</v>
      </c>
    </row>
    <row r="41" spans="1:6" x14ac:dyDescent="0.25">
      <c r="A41" s="58">
        <v>35</v>
      </c>
      <c r="B41" s="59">
        <v>12</v>
      </c>
      <c r="C41" s="66" t="s">
        <v>238</v>
      </c>
      <c r="D41" s="61">
        <v>41749</v>
      </c>
      <c r="E41" s="61">
        <v>22801</v>
      </c>
      <c r="F41" s="61">
        <v>84992</v>
      </c>
    </row>
    <row r="42" spans="1:6" x14ac:dyDescent="0.25">
      <c r="A42" s="67">
        <v>36</v>
      </c>
      <c r="B42" s="68">
        <v>13</v>
      </c>
      <c r="C42" s="66" t="s">
        <v>239</v>
      </c>
      <c r="D42" s="61">
        <v>47986</v>
      </c>
      <c r="E42" s="61">
        <v>23160</v>
      </c>
      <c r="F42" s="61">
        <v>164646</v>
      </c>
    </row>
    <row r="43" spans="1:6" x14ac:dyDescent="0.25">
      <c r="A43" s="58">
        <v>37</v>
      </c>
      <c r="B43" s="59">
        <v>14</v>
      </c>
      <c r="C43" s="66" t="s">
        <v>240</v>
      </c>
      <c r="D43" s="61">
        <v>97778</v>
      </c>
      <c r="E43" s="61">
        <v>50260</v>
      </c>
      <c r="F43" s="61">
        <v>183277</v>
      </c>
    </row>
    <row r="44" spans="1:6" x14ac:dyDescent="0.25">
      <c r="A44" s="67">
        <v>38</v>
      </c>
      <c r="B44" s="68">
        <v>15</v>
      </c>
      <c r="C44" s="66" t="s">
        <v>241</v>
      </c>
      <c r="D44" s="61">
        <v>11217</v>
      </c>
      <c r="E44" s="61">
        <v>4404</v>
      </c>
      <c r="F44" s="61">
        <v>29497</v>
      </c>
    </row>
    <row r="45" spans="1:6" x14ac:dyDescent="0.25">
      <c r="A45" s="273" t="s">
        <v>227</v>
      </c>
      <c r="B45" s="274"/>
      <c r="C45" s="275"/>
      <c r="D45" s="65">
        <v>604174</v>
      </c>
      <c r="E45" s="65">
        <v>310590</v>
      </c>
      <c r="F45" s="65">
        <v>1211976</v>
      </c>
    </row>
    <row r="46" spans="1:6" x14ac:dyDescent="0.25">
      <c r="A46" s="273" t="s">
        <v>227</v>
      </c>
      <c r="B46" s="274"/>
      <c r="C46" s="275"/>
      <c r="D46" s="65">
        <v>994207</v>
      </c>
      <c r="E46" s="65">
        <v>508444</v>
      </c>
      <c r="F46" s="65">
        <v>2333207</v>
      </c>
    </row>
    <row r="47" spans="1:6" x14ac:dyDescent="0.25">
      <c r="A47" s="70">
        <v>39</v>
      </c>
      <c r="B47" s="71">
        <v>1</v>
      </c>
      <c r="C47" s="72" t="s">
        <v>242</v>
      </c>
      <c r="D47" s="61">
        <v>1112</v>
      </c>
      <c r="E47" s="61">
        <v>359</v>
      </c>
      <c r="F47" s="61">
        <v>2594</v>
      </c>
    </row>
    <row r="48" spans="1:6" x14ac:dyDescent="0.25">
      <c r="A48" s="70">
        <v>40</v>
      </c>
      <c r="B48" s="71">
        <v>2</v>
      </c>
      <c r="C48" s="72" t="s">
        <v>243</v>
      </c>
      <c r="D48" s="61">
        <v>1769</v>
      </c>
      <c r="E48" s="61">
        <v>1168</v>
      </c>
      <c r="F48" s="61">
        <v>12034</v>
      </c>
    </row>
    <row r="49" spans="1:6" x14ac:dyDescent="0.25">
      <c r="A49" s="70">
        <v>41</v>
      </c>
      <c r="B49" s="71">
        <v>3</v>
      </c>
      <c r="C49" s="72" t="s">
        <v>244</v>
      </c>
      <c r="D49" s="61">
        <v>805</v>
      </c>
      <c r="E49" s="61">
        <v>318</v>
      </c>
      <c r="F49" s="61">
        <v>612</v>
      </c>
    </row>
    <row r="50" spans="1:6" x14ac:dyDescent="0.25">
      <c r="A50" s="70">
        <v>42</v>
      </c>
      <c r="B50" s="71">
        <v>4</v>
      </c>
      <c r="C50" s="72" t="s">
        <v>245</v>
      </c>
      <c r="D50" s="61">
        <v>845</v>
      </c>
      <c r="E50" s="61">
        <v>537</v>
      </c>
      <c r="F50" s="61">
        <v>6910</v>
      </c>
    </row>
    <row r="51" spans="1:6" x14ac:dyDescent="0.25">
      <c r="A51" s="70">
        <v>43</v>
      </c>
      <c r="B51" s="71">
        <v>5</v>
      </c>
      <c r="C51" s="73" t="s">
        <v>246</v>
      </c>
      <c r="D51" s="61">
        <v>44833</v>
      </c>
      <c r="E51" s="61">
        <v>27548</v>
      </c>
      <c r="F51" s="61">
        <v>45882</v>
      </c>
    </row>
    <row r="52" spans="1:6" ht="26.25" x14ac:dyDescent="0.25">
      <c r="A52" s="70">
        <v>44</v>
      </c>
      <c r="B52" s="71">
        <v>6</v>
      </c>
      <c r="C52" s="73" t="s">
        <v>247</v>
      </c>
      <c r="D52" s="61">
        <v>40899</v>
      </c>
      <c r="E52" s="61">
        <v>20716</v>
      </c>
      <c r="F52" s="61">
        <v>42170</v>
      </c>
    </row>
    <row r="53" spans="1:6" x14ac:dyDescent="0.25">
      <c r="A53" s="70">
        <v>45</v>
      </c>
      <c r="B53" s="71">
        <v>7</v>
      </c>
      <c r="C53" s="73" t="s">
        <v>248</v>
      </c>
      <c r="D53" s="61">
        <v>80533</v>
      </c>
      <c r="E53" s="61">
        <v>34030</v>
      </c>
      <c r="F53" s="61">
        <v>209962</v>
      </c>
    </row>
    <row r="54" spans="1:6" x14ac:dyDescent="0.25">
      <c r="A54" s="70">
        <v>46</v>
      </c>
      <c r="B54" s="71">
        <v>8</v>
      </c>
      <c r="C54" s="73" t="s">
        <v>249</v>
      </c>
      <c r="D54" s="61">
        <v>39022</v>
      </c>
      <c r="E54" s="61">
        <v>26520</v>
      </c>
      <c r="F54" s="61">
        <v>153577</v>
      </c>
    </row>
    <row r="55" spans="1:6" x14ac:dyDescent="0.25">
      <c r="A55" s="70">
        <v>47</v>
      </c>
      <c r="B55" s="71">
        <v>9</v>
      </c>
      <c r="C55" s="66" t="s">
        <v>250</v>
      </c>
      <c r="D55" s="61">
        <v>15768</v>
      </c>
      <c r="E55" s="61">
        <v>8856</v>
      </c>
      <c r="F55" s="61">
        <v>122109</v>
      </c>
    </row>
    <row r="56" spans="1:6" x14ac:dyDescent="0.25">
      <c r="A56" s="70">
        <v>48</v>
      </c>
      <c r="B56" s="71">
        <v>10</v>
      </c>
      <c r="C56" s="73" t="s">
        <v>251</v>
      </c>
      <c r="D56" s="61">
        <v>55050</v>
      </c>
      <c r="E56" s="61">
        <v>28425</v>
      </c>
      <c r="F56" s="61">
        <v>146773</v>
      </c>
    </row>
    <row r="57" spans="1:6" x14ac:dyDescent="0.25">
      <c r="A57" s="70">
        <v>49</v>
      </c>
      <c r="B57" s="71">
        <v>11</v>
      </c>
      <c r="C57" s="73" t="s">
        <v>252</v>
      </c>
      <c r="D57" s="61">
        <v>38717</v>
      </c>
      <c r="E57" s="61">
        <v>21691</v>
      </c>
      <c r="F57" s="61">
        <v>60664</v>
      </c>
    </row>
    <row r="58" spans="1:6" x14ac:dyDescent="0.25">
      <c r="A58" s="70">
        <v>50</v>
      </c>
      <c r="B58" s="71">
        <v>12</v>
      </c>
      <c r="C58" s="73" t="s">
        <v>253</v>
      </c>
      <c r="D58" s="61">
        <v>45857</v>
      </c>
      <c r="E58" s="61">
        <v>25935</v>
      </c>
      <c r="F58" s="61">
        <v>64632</v>
      </c>
    </row>
    <row r="59" spans="1:6" x14ac:dyDescent="0.25">
      <c r="A59" s="70">
        <v>51</v>
      </c>
      <c r="B59" s="71">
        <v>13</v>
      </c>
      <c r="C59" s="73" t="s">
        <v>254</v>
      </c>
      <c r="D59" s="61">
        <v>79962</v>
      </c>
      <c r="E59" s="61">
        <v>40301</v>
      </c>
      <c r="F59" s="61">
        <v>145088</v>
      </c>
    </row>
    <row r="60" spans="1:6" x14ac:dyDescent="0.25">
      <c r="A60" s="70">
        <v>52</v>
      </c>
      <c r="B60" s="71">
        <v>14</v>
      </c>
      <c r="C60" s="73" t="s">
        <v>255</v>
      </c>
      <c r="D60" s="61">
        <v>32944</v>
      </c>
      <c r="E60" s="61">
        <v>20158</v>
      </c>
      <c r="F60" s="61">
        <v>66438</v>
      </c>
    </row>
    <row r="61" spans="1:6" x14ac:dyDescent="0.25">
      <c r="A61" s="70">
        <v>53</v>
      </c>
      <c r="B61" s="71">
        <v>15</v>
      </c>
      <c r="C61" s="73" t="s">
        <v>256</v>
      </c>
      <c r="D61" s="61">
        <v>54945</v>
      </c>
      <c r="E61" s="61">
        <v>27220</v>
      </c>
      <c r="F61" s="61">
        <v>104371</v>
      </c>
    </row>
    <row r="62" spans="1:6" x14ac:dyDescent="0.25">
      <c r="A62" s="70">
        <v>54</v>
      </c>
      <c r="B62" s="71">
        <v>16</v>
      </c>
      <c r="C62" s="73" t="s">
        <v>257</v>
      </c>
      <c r="D62" s="61">
        <v>17808</v>
      </c>
      <c r="E62" s="61">
        <v>9575</v>
      </c>
      <c r="F62" s="61">
        <v>62279</v>
      </c>
    </row>
    <row r="63" spans="1:6" x14ac:dyDescent="0.25">
      <c r="A63" s="70">
        <v>55</v>
      </c>
      <c r="B63" s="71">
        <v>17</v>
      </c>
      <c r="C63" s="66" t="s">
        <v>258</v>
      </c>
      <c r="D63" s="61">
        <v>32514</v>
      </c>
      <c r="E63" s="61">
        <v>18107</v>
      </c>
      <c r="F63" s="61">
        <v>131869</v>
      </c>
    </row>
    <row r="64" spans="1:6" x14ac:dyDescent="0.25">
      <c r="A64" s="70">
        <v>56</v>
      </c>
      <c r="B64" s="71">
        <v>18</v>
      </c>
      <c r="C64" s="73" t="s">
        <v>182</v>
      </c>
      <c r="D64" s="61">
        <v>82271</v>
      </c>
      <c r="E64" s="61">
        <v>44896</v>
      </c>
      <c r="F64" s="61">
        <v>193790</v>
      </c>
    </row>
    <row r="65" spans="1:6" ht="26.25" x14ac:dyDescent="0.25">
      <c r="A65" s="74"/>
      <c r="B65" s="75"/>
      <c r="C65" s="76" t="s">
        <v>259</v>
      </c>
      <c r="D65" s="77">
        <v>0</v>
      </c>
      <c r="E65" s="77">
        <v>0</v>
      </c>
      <c r="F65" s="77">
        <v>654</v>
      </c>
    </row>
    <row r="66" spans="1:6" x14ac:dyDescent="0.25">
      <c r="A66" s="273" t="s">
        <v>227</v>
      </c>
      <c r="B66" s="274"/>
      <c r="C66" s="275"/>
      <c r="D66" s="65">
        <v>665654</v>
      </c>
      <c r="E66" s="65">
        <v>356360</v>
      </c>
      <c r="F66" s="65">
        <v>1572408</v>
      </c>
    </row>
    <row r="67" spans="1:6" x14ac:dyDescent="0.25">
      <c r="A67" s="70">
        <v>57</v>
      </c>
      <c r="B67" s="71">
        <v>1</v>
      </c>
      <c r="C67" s="72" t="s">
        <v>260</v>
      </c>
      <c r="D67" s="61">
        <v>801</v>
      </c>
      <c r="E67" s="61">
        <v>476</v>
      </c>
      <c r="F67" s="61">
        <v>1327</v>
      </c>
    </row>
    <row r="68" spans="1:6" x14ac:dyDescent="0.25">
      <c r="A68" s="58">
        <v>58</v>
      </c>
      <c r="B68" s="59">
        <v>2</v>
      </c>
      <c r="C68" s="66" t="s">
        <v>261</v>
      </c>
      <c r="D68" s="61">
        <v>8860</v>
      </c>
      <c r="E68" s="61">
        <v>3350</v>
      </c>
      <c r="F68" s="61">
        <v>29310</v>
      </c>
    </row>
    <row r="69" spans="1:6" x14ac:dyDescent="0.25">
      <c r="A69" s="70">
        <v>59</v>
      </c>
      <c r="B69" s="71">
        <v>3</v>
      </c>
      <c r="C69" s="66" t="s">
        <v>262</v>
      </c>
      <c r="D69" s="61">
        <v>10404</v>
      </c>
      <c r="E69" s="61">
        <v>5920</v>
      </c>
      <c r="F69" s="61">
        <v>48022</v>
      </c>
    </row>
    <row r="70" spans="1:6" x14ac:dyDescent="0.25">
      <c r="A70" s="58">
        <v>60</v>
      </c>
      <c r="B70" s="59">
        <v>4</v>
      </c>
      <c r="C70" s="66" t="s">
        <v>263</v>
      </c>
      <c r="D70" s="61">
        <v>10024</v>
      </c>
      <c r="E70" s="61">
        <v>3913</v>
      </c>
      <c r="F70" s="61">
        <v>42072</v>
      </c>
    </row>
    <row r="71" spans="1:6" x14ac:dyDescent="0.25">
      <c r="A71" s="70">
        <v>61</v>
      </c>
      <c r="B71" s="71">
        <v>5</v>
      </c>
      <c r="C71" s="66" t="s">
        <v>264</v>
      </c>
      <c r="D71" s="61">
        <v>16873</v>
      </c>
      <c r="E71" s="61">
        <v>7134</v>
      </c>
      <c r="F71" s="61">
        <v>38048</v>
      </c>
    </row>
    <row r="72" spans="1:6" x14ac:dyDescent="0.25">
      <c r="A72" s="58">
        <v>62</v>
      </c>
      <c r="B72" s="59">
        <v>6</v>
      </c>
      <c r="C72" s="66" t="s">
        <v>265</v>
      </c>
      <c r="D72" s="61">
        <v>14537</v>
      </c>
      <c r="E72" s="61">
        <v>5538</v>
      </c>
      <c r="F72" s="61">
        <v>49469</v>
      </c>
    </row>
    <row r="73" spans="1:6" x14ac:dyDescent="0.25">
      <c r="A73" s="70">
        <v>63</v>
      </c>
      <c r="B73" s="71">
        <v>7</v>
      </c>
      <c r="C73" s="66" t="s">
        <v>266</v>
      </c>
      <c r="D73" s="61">
        <v>13943</v>
      </c>
      <c r="E73" s="61">
        <v>5150</v>
      </c>
      <c r="F73" s="61">
        <v>33331</v>
      </c>
    </row>
    <row r="74" spans="1:6" x14ac:dyDescent="0.25">
      <c r="A74" s="58">
        <v>64</v>
      </c>
      <c r="B74" s="59">
        <v>8</v>
      </c>
      <c r="C74" s="66" t="s">
        <v>267</v>
      </c>
      <c r="D74" s="61">
        <v>20405</v>
      </c>
      <c r="E74" s="61">
        <v>8704</v>
      </c>
      <c r="F74" s="61">
        <v>82127</v>
      </c>
    </row>
    <row r="75" spans="1:6" x14ac:dyDescent="0.25">
      <c r="A75" s="262" t="s">
        <v>227</v>
      </c>
      <c r="B75" s="263"/>
      <c r="C75" s="264"/>
      <c r="D75" s="65">
        <v>95847</v>
      </c>
      <c r="E75" s="65">
        <v>40185</v>
      </c>
      <c r="F75" s="65">
        <v>323706</v>
      </c>
    </row>
    <row r="76" spans="1:6" x14ac:dyDescent="0.25">
      <c r="A76" s="265" t="s">
        <v>268</v>
      </c>
      <c r="B76" s="266"/>
      <c r="C76" s="267"/>
      <c r="D76" s="78">
        <v>2361915</v>
      </c>
      <c r="E76" s="78">
        <v>1227217</v>
      </c>
      <c r="F76" s="78">
        <v>5686400</v>
      </c>
    </row>
    <row r="78" spans="1:6" x14ac:dyDescent="0.25">
      <c r="D78" s="42"/>
      <c r="F78" s="36"/>
    </row>
  </sheetData>
  <mergeCells count="14">
    <mergeCell ref="A1:F1"/>
    <mergeCell ref="A2:A3"/>
    <mergeCell ref="B2:B3"/>
    <mergeCell ref="C2:C3"/>
    <mergeCell ref="D2:E2"/>
    <mergeCell ref="F2:F3"/>
    <mergeCell ref="A75:C75"/>
    <mergeCell ref="A76:C76"/>
    <mergeCell ref="A4:F4"/>
    <mergeCell ref="A18:C18"/>
    <mergeCell ref="A29:C29"/>
    <mergeCell ref="A45:C45"/>
    <mergeCell ref="A46:C46"/>
    <mergeCell ref="A66:C6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BC3EF-07CB-4B4E-B3E3-12FD5040F6E1}">
  <dimension ref="A1:I20"/>
  <sheetViews>
    <sheetView workbookViewId="0"/>
  </sheetViews>
  <sheetFormatPr defaultColWidth="11" defaultRowHeight="15.75" x14ac:dyDescent="0.25"/>
  <sheetData>
    <row r="1" spans="1:9" ht="18.75" x14ac:dyDescent="0.3">
      <c r="A1" s="116" t="s">
        <v>286</v>
      </c>
      <c r="B1" s="117"/>
      <c r="C1" s="117" t="s">
        <v>162</v>
      </c>
      <c r="D1" s="118" t="s">
        <v>287</v>
      </c>
      <c r="E1" s="118" t="s">
        <v>288</v>
      </c>
      <c r="F1" s="118" t="s">
        <v>289</v>
      </c>
      <c r="G1" s="118" t="s">
        <v>290</v>
      </c>
      <c r="H1" s="118" t="s">
        <v>291</v>
      </c>
      <c r="I1" s="118" t="s">
        <v>122</v>
      </c>
    </row>
    <row r="2" spans="1:9" x14ac:dyDescent="0.25">
      <c r="A2" s="285" t="s">
        <v>292</v>
      </c>
      <c r="B2" s="119">
        <v>1</v>
      </c>
      <c r="C2" s="120" t="s">
        <v>293</v>
      </c>
      <c r="D2" s="120">
        <v>7</v>
      </c>
      <c r="E2" s="120">
        <v>7</v>
      </c>
      <c r="F2" s="120">
        <v>88</v>
      </c>
      <c r="G2" s="120">
        <v>88</v>
      </c>
      <c r="H2" s="120">
        <v>5970</v>
      </c>
      <c r="I2" s="120">
        <v>49609</v>
      </c>
    </row>
    <row r="3" spans="1:9" x14ac:dyDescent="0.25">
      <c r="A3" s="286"/>
      <c r="B3" s="119">
        <v>2</v>
      </c>
      <c r="C3" s="120" t="s">
        <v>177</v>
      </c>
      <c r="D3" s="120">
        <v>5</v>
      </c>
      <c r="E3" s="120">
        <v>5</v>
      </c>
      <c r="F3" s="120">
        <v>81</v>
      </c>
      <c r="G3" s="120">
        <v>81</v>
      </c>
      <c r="H3" s="121">
        <v>0</v>
      </c>
      <c r="I3" s="121">
        <v>0</v>
      </c>
    </row>
    <row r="4" spans="1:9" x14ac:dyDescent="0.25">
      <c r="A4" s="286"/>
      <c r="B4" s="119">
        <v>3</v>
      </c>
      <c r="C4" s="120" t="s">
        <v>219</v>
      </c>
      <c r="D4" s="120">
        <v>2</v>
      </c>
      <c r="E4" s="120">
        <v>0</v>
      </c>
      <c r="F4" s="120">
        <v>20</v>
      </c>
      <c r="G4" s="120">
        <v>26</v>
      </c>
      <c r="H4" s="120">
        <v>4474</v>
      </c>
      <c r="I4" s="120">
        <v>35826</v>
      </c>
    </row>
    <row r="5" spans="1:9" x14ac:dyDescent="0.25">
      <c r="A5" s="286"/>
      <c r="B5" s="119">
        <v>4</v>
      </c>
      <c r="C5" s="120" t="s">
        <v>225</v>
      </c>
      <c r="D5" s="120">
        <v>3</v>
      </c>
      <c r="E5" s="120"/>
      <c r="F5" s="120">
        <v>25</v>
      </c>
      <c r="G5" s="120">
        <v>27</v>
      </c>
      <c r="H5" s="120">
        <v>4130</v>
      </c>
      <c r="I5" s="120">
        <v>35347</v>
      </c>
    </row>
    <row r="6" spans="1:9" x14ac:dyDescent="0.25">
      <c r="A6" s="286"/>
      <c r="B6" s="119">
        <v>5</v>
      </c>
      <c r="C6" s="120" t="s">
        <v>294</v>
      </c>
      <c r="D6" s="120">
        <v>2</v>
      </c>
      <c r="E6" s="120"/>
      <c r="F6" s="120">
        <v>21</v>
      </c>
      <c r="G6" s="120">
        <v>30</v>
      </c>
      <c r="H6" s="120">
        <v>6072</v>
      </c>
      <c r="I6" s="120">
        <v>39176</v>
      </c>
    </row>
    <row r="7" spans="1:9" x14ac:dyDescent="0.25">
      <c r="A7" s="286"/>
      <c r="B7" s="119">
        <v>6</v>
      </c>
      <c r="C7" s="120" t="s">
        <v>295</v>
      </c>
      <c r="D7" s="120">
        <v>2</v>
      </c>
      <c r="E7" s="120"/>
      <c r="F7" s="120">
        <v>21</v>
      </c>
      <c r="G7" s="120">
        <v>32</v>
      </c>
      <c r="H7" s="120">
        <v>8956</v>
      </c>
      <c r="I7" s="120">
        <v>56075</v>
      </c>
    </row>
    <row r="8" spans="1:9" x14ac:dyDescent="0.25">
      <c r="A8" s="286"/>
      <c r="B8" s="119">
        <v>7</v>
      </c>
      <c r="C8" s="120" t="s">
        <v>296</v>
      </c>
      <c r="D8" s="120">
        <v>3</v>
      </c>
      <c r="E8" s="120">
        <v>0</v>
      </c>
      <c r="F8" s="120">
        <v>25</v>
      </c>
      <c r="G8" s="120">
        <v>25</v>
      </c>
      <c r="H8" s="120">
        <v>7191</v>
      </c>
      <c r="I8" s="120">
        <v>36739</v>
      </c>
    </row>
    <row r="9" spans="1:9" x14ac:dyDescent="0.25">
      <c r="A9" s="286"/>
      <c r="B9" s="119">
        <v>8</v>
      </c>
      <c r="C9" s="120" t="s">
        <v>297</v>
      </c>
      <c r="D9" s="120">
        <v>3</v>
      </c>
      <c r="E9" s="120">
        <v>0</v>
      </c>
      <c r="F9" s="120">
        <v>26</v>
      </c>
      <c r="G9" s="120">
        <v>26</v>
      </c>
      <c r="H9" s="120">
        <v>12358</v>
      </c>
      <c r="I9" s="120">
        <v>99186</v>
      </c>
    </row>
    <row r="10" spans="1:9" x14ac:dyDescent="0.25">
      <c r="A10" s="286"/>
      <c r="B10" s="119">
        <v>9</v>
      </c>
      <c r="C10" s="120" t="s">
        <v>298</v>
      </c>
      <c r="D10" s="120">
        <v>4</v>
      </c>
      <c r="E10" s="120">
        <v>0</v>
      </c>
      <c r="F10" s="120">
        <v>25</v>
      </c>
      <c r="G10" s="120">
        <v>25</v>
      </c>
      <c r="H10" s="120">
        <v>5638</v>
      </c>
      <c r="I10" s="120">
        <v>35204</v>
      </c>
    </row>
    <row r="11" spans="1:9" x14ac:dyDescent="0.25">
      <c r="A11" s="287"/>
      <c r="B11" s="119">
        <v>10</v>
      </c>
      <c r="C11" s="120" t="s">
        <v>299</v>
      </c>
      <c r="D11" s="120">
        <v>3</v>
      </c>
      <c r="E11" s="120">
        <v>0</v>
      </c>
      <c r="F11" s="120">
        <v>25</v>
      </c>
      <c r="G11" s="120">
        <v>25</v>
      </c>
      <c r="H11" s="120">
        <v>6113</v>
      </c>
      <c r="I11" s="120">
        <v>29029</v>
      </c>
    </row>
    <row r="12" spans="1:9" x14ac:dyDescent="0.25">
      <c r="A12" s="288" t="s">
        <v>300</v>
      </c>
      <c r="B12" s="289"/>
      <c r="C12" s="290"/>
      <c r="D12" s="122">
        <v>34</v>
      </c>
      <c r="E12" s="122">
        <v>12</v>
      </c>
      <c r="F12" s="122">
        <v>357</v>
      </c>
      <c r="G12" s="122">
        <v>385</v>
      </c>
      <c r="H12" s="122">
        <v>60902</v>
      </c>
      <c r="I12" s="122">
        <v>416191</v>
      </c>
    </row>
    <row r="13" spans="1:9" x14ac:dyDescent="0.25">
      <c r="A13" s="27"/>
      <c r="B13" s="27"/>
      <c r="C13" s="27"/>
      <c r="D13" s="27"/>
      <c r="E13" s="27"/>
      <c r="F13" s="27"/>
      <c r="G13" s="27"/>
      <c r="H13" s="27"/>
      <c r="I13" s="27"/>
    </row>
    <row r="14" spans="1:9" x14ac:dyDescent="0.25">
      <c r="A14" s="27"/>
      <c r="B14" s="27"/>
      <c r="C14" s="283" t="s">
        <v>301</v>
      </c>
      <c r="D14" s="284"/>
      <c r="E14" s="123">
        <v>10</v>
      </c>
      <c r="F14" s="27"/>
      <c r="G14" s="27"/>
      <c r="H14" s="27"/>
      <c r="I14" s="27"/>
    </row>
    <row r="15" spans="1:9" x14ac:dyDescent="0.25">
      <c r="A15" s="27"/>
      <c r="B15" s="27"/>
      <c r="C15" s="283" t="s">
        <v>302</v>
      </c>
      <c r="D15" s="284"/>
      <c r="E15" s="124">
        <v>34</v>
      </c>
      <c r="F15" s="27"/>
      <c r="G15" s="27"/>
      <c r="H15" s="27"/>
      <c r="I15" s="27"/>
    </row>
    <row r="16" spans="1:9" x14ac:dyDescent="0.25">
      <c r="A16" s="27"/>
      <c r="B16" s="27"/>
      <c r="C16" s="283" t="s">
        <v>303</v>
      </c>
      <c r="D16" s="284"/>
      <c r="E16" s="124">
        <v>357</v>
      </c>
      <c r="F16" s="27"/>
      <c r="G16" s="27"/>
      <c r="H16" s="27"/>
      <c r="I16" s="27"/>
    </row>
    <row r="17" spans="1:9" x14ac:dyDescent="0.25">
      <c r="A17" s="27"/>
      <c r="B17" s="27"/>
      <c r="C17" s="283" t="s">
        <v>304</v>
      </c>
      <c r="D17" s="284"/>
      <c r="E17" s="124">
        <v>12</v>
      </c>
      <c r="F17" s="27"/>
      <c r="G17" s="27"/>
      <c r="H17" s="27"/>
      <c r="I17" s="27"/>
    </row>
    <row r="18" spans="1:9" x14ac:dyDescent="0.25">
      <c r="A18" s="27"/>
      <c r="B18" s="27"/>
      <c r="C18" s="283" t="s">
        <v>305</v>
      </c>
      <c r="D18" s="284"/>
      <c r="E18" s="124">
        <v>385</v>
      </c>
      <c r="F18" s="27"/>
      <c r="G18" s="27"/>
      <c r="H18" s="27"/>
      <c r="I18" s="27"/>
    </row>
    <row r="19" spans="1:9" x14ac:dyDescent="0.25">
      <c r="A19" s="27"/>
      <c r="B19" s="27"/>
      <c r="C19" s="283" t="s">
        <v>306</v>
      </c>
      <c r="D19" s="284"/>
      <c r="E19" s="124">
        <v>60902</v>
      </c>
      <c r="F19" s="27"/>
      <c r="G19" s="27"/>
      <c r="H19" s="27"/>
      <c r="I19" s="27"/>
    </row>
    <row r="20" spans="1:9" x14ac:dyDescent="0.25">
      <c r="A20" s="27"/>
      <c r="B20" s="27"/>
      <c r="C20" s="283" t="s">
        <v>122</v>
      </c>
      <c r="D20" s="284"/>
      <c r="E20" s="125">
        <v>416191</v>
      </c>
      <c r="F20" s="27"/>
      <c r="G20" s="27"/>
      <c r="H20" s="27"/>
      <c r="I20" s="27"/>
    </row>
  </sheetData>
  <mergeCells count="9">
    <mergeCell ref="C18:D18"/>
    <mergeCell ref="C19:D19"/>
    <mergeCell ref="C20:D20"/>
    <mergeCell ref="A2:A11"/>
    <mergeCell ref="A12:C12"/>
    <mergeCell ref="C14:D14"/>
    <mergeCell ref="C15:D15"/>
    <mergeCell ref="C16:D16"/>
    <mergeCell ref="C17:D1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63348-5FCF-F145-884D-74285E79CCC7}">
  <dimension ref="A1:J23"/>
  <sheetViews>
    <sheetView zoomScale="85" zoomScaleNormal="85" workbookViewId="0"/>
  </sheetViews>
  <sheetFormatPr defaultColWidth="11" defaultRowHeight="15.75" x14ac:dyDescent="0.25"/>
  <sheetData>
    <row r="1" spans="1:10" x14ac:dyDescent="0.25">
      <c r="A1" s="79"/>
      <c r="B1" s="79"/>
      <c r="C1" s="295" t="s">
        <v>269</v>
      </c>
      <c r="D1" s="295"/>
      <c r="E1" s="295"/>
      <c r="F1" s="295"/>
      <c r="G1" s="295"/>
      <c r="H1" s="295"/>
      <c r="I1" s="295"/>
      <c r="J1" s="295"/>
    </row>
    <row r="2" spans="1:10" x14ac:dyDescent="0.25">
      <c r="A2" s="79"/>
      <c r="B2" s="79"/>
      <c r="C2" s="79"/>
      <c r="D2" s="79"/>
      <c r="E2" s="80" t="s">
        <v>270</v>
      </c>
      <c r="F2" s="296" t="s">
        <v>271</v>
      </c>
      <c r="G2" s="297"/>
      <c r="H2" s="297"/>
      <c r="I2" s="298"/>
      <c r="J2" s="79"/>
    </row>
    <row r="3" spans="1:10" x14ac:dyDescent="0.25">
      <c r="A3" s="268" t="s">
        <v>272</v>
      </c>
      <c r="B3" s="269"/>
      <c r="C3" s="299"/>
      <c r="D3" s="82" t="s">
        <v>273</v>
      </c>
      <c r="E3" s="79" t="s">
        <v>274</v>
      </c>
      <c r="F3" s="83" t="s">
        <v>122</v>
      </c>
      <c r="G3" s="79" t="s">
        <v>275</v>
      </c>
      <c r="H3" s="84" t="s">
        <v>276</v>
      </c>
      <c r="I3" s="85" t="s">
        <v>277</v>
      </c>
      <c r="J3" s="86" t="s">
        <v>278</v>
      </c>
    </row>
    <row r="4" spans="1:10" x14ac:dyDescent="0.25">
      <c r="A4" s="268" t="s">
        <v>279</v>
      </c>
      <c r="B4" s="269"/>
      <c r="C4" s="300"/>
      <c r="D4" s="61"/>
      <c r="E4" s="62"/>
      <c r="F4" s="81"/>
      <c r="G4" s="87"/>
      <c r="H4" s="88"/>
      <c r="I4" s="88"/>
      <c r="J4" s="79"/>
    </row>
    <row r="5" spans="1:10" x14ac:dyDescent="0.25">
      <c r="A5" s="89">
        <v>2</v>
      </c>
      <c r="B5" s="90">
        <v>2</v>
      </c>
      <c r="C5" s="91" t="s">
        <v>205</v>
      </c>
      <c r="D5" s="92">
        <v>44.1</v>
      </c>
      <c r="E5" s="92">
        <v>49</v>
      </c>
      <c r="F5" s="93">
        <v>440</v>
      </c>
      <c r="G5" s="94">
        <v>2</v>
      </c>
      <c r="H5" s="95"/>
      <c r="I5" s="95">
        <v>2</v>
      </c>
      <c r="J5" s="301" t="s">
        <v>280</v>
      </c>
    </row>
    <row r="6" spans="1:10" x14ac:dyDescent="0.25">
      <c r="A6" s="89">
        <v>3</v>
      </c>
      <c r="B6" s="90">
        <v>3</v>
      </c>
      <c r="C6" s="91" t="s">
        <v>206</v>
      </c>
      <c r="D6" s="92">
        <v>23.3</v>
      </c>
      <c r="E6" s="92">
        <v>93</v>
      </c>
      <c r="F6" s="96">
        <v>730</v>
      </c>
      <c r="G6" s="92">
        <v>4</v>
      </c>
      <c r="H6" s="95"/>
      <c r="I6" s="95">
        <v>4</v>
      </c>
      <c r="J6" s="301"/>
    </row>
    <row r="7" spans="1:10" x14ac:dyDescent="0.25">
      <c r="A7" s="89">
        <v>4</v>
      </c>
      <c r="B7" s="90">
        <v>4</v>
      </c>
      <c r="C7" s="91" t="s">
        <v>281</v>
      </c>
      <c r="D7" s="92">
        <v>82.1</v>
      </c>
      <c r="E7" s="92">
        <v>116</v>
      </c>
      <c r="F7" s="92">
        <v>1100</v>
      </c>
      <c r="G7" s="92">
        <v>3</v>
      </c>
      <c r="H7" s="95"/>
      <c r="I7" s="95">
        <v>3</v>
      </c>
      <c r="J7" s="301"/>
    </row>
    <row r="8" spans="1:10" x14ac:dyDescent="0.25">
      <c r="A8" s="89">
        <v>5</v>
      </c>
      <c r="B8" s="90">
        <v>5</v>
      </c>
      <c r="C8" s="91" t="s">
        <v>208</v>
      </c>
      <c r="D8" s="92">
        <v>127.4</v>
      </c>
      <c r="E8" s="92">
        <v>154</v>
      </c>
      <c r="F8" s="92">
        <v>590</v>
      </c>
      <c r="G8" s="92">
        <v>3</v>
      </c>
      <c r="H8" s="95"/>
      <c r="I8" s="95">
        <v>3</v>
      </c>
      <c r="J8" s="301"/>
    </row>
    <row r="9" spans="1:10" x14ac:dyDescent="0.25">
      <c r="A9" s="89">
        <v>6</v>
      </c>
      <c r="B9" s="90">
        <v>6</v>
      </c>
      <c r="C9" s="91" t="s">
        <v>209</v>
      </c>
      <c r="D9" s="92">
        <v>66.400000000000006</v>
      </c>
      <c r="E9" s="92">
        <v>53</v>
      </c>
      <c r="F9" s="92">
        <v>580</v>
      </c>
      <c r="G9" s="92">
        <v>4</v>
      </c>
      <c r="H9" s="95"/>
      <c r="I9" s="95">
        <v>4</v>
      </c>
      <c r="J9" s="301"/>
    </row>
    <row r="10" spans="1:10" x14ac:dyDescent="0.25">
      <c r="A10" s="89">
        <v>7</v>
      </c>
      <c r="B10" s="90">
        <v>7</v>
      </c>
      <c r="C10" s="91" t="s">
        <v>210</v>
      </c>
      <c r="D10" s="92">
        <v>46</v>
      </c>
      <c r="E10" s="92">
        <v>44</v>
      </c>
      <c r="F10" s="92">
        <v>4800</v>
      </c>
      <c r="G10" s="92">
        <v>5</v>
      </c>
      <c r="H10" s="95"/>
      <c r="I10" s="95">
        <v>5</v>
      </c>
      <c r="J10" s="93"/>
    </row>
    <row r="11" spans="1:10" x14ac:dyDescent="0.25">
      <c r="A11" s="291" t="s">
        <v>282</v>
      </c>
      <c r="B11" s="292"/>
      <c r="C11" s="293"/>
      <c r="D11" s="97"/>
      <c r="E11" s="97"/>
      <c r="F11" s="97"/>
      <c r="G11" s="97"/>
      <c r="H11" s="88"/>
      <c r="I11" s="88"/>
      <c r="J11" s="79"/>
    </row>
    <row r="12" spans="1:10" ht="45" x14ac:dyDescent="0.25">
      <c r="A12" s="98">
        <v>47</v>
      </c>
      <c r="B12" s="99">
        <v>9</v>
      </c>
      <c r="C12" s="100" t="s">
        <v>250</v>
      </c>
      <c r="D12" s="101">
        <v>25.4</v>
      </c>
      <c r="E12" s="101">
        <v>18</v>
      </c>
      <c r="F12" s="101">
        <v>430</v>
      </c>
      <c r="G12" s="101">
        <v>3</v>
      </c>
      <c r="H12" s="102"/>
      <c r="I12" s="102">
        <v>3</v>
      </c>
      <c r="J12" s="103" t="s">
        <v>283</v>
      </c>
    </row>
    <row r="13" spans="1:10" x14ac:dyDescent="0.25">
      <c r="A13" s="98">
        <v>51</v>
      </c>
      <c r="B13" s="99">
        <v>13</v>
      </c>
      <c r="C13" s="104" t="s">
        <v>254</v>
      </c>
      <c r="D13" s="105">
        <v>173.5</v>
      </c>
      <c r="E13" s="105">
        <v>55</v>
      </c>
      <c r="F13" s="105">
        <v>3600</v>
      </c>
      <c r="G13" s="105">
        <v>4</v>
      </c>
      <c r="H13" s="106"/>
      <c r="I13" s="106">
        <v>4</v>
      </c>
      <c r="J13" s="107" t="s">
        <v>284</v>
      </c>
    </row>
    <row r="14" spans="1:10" x14ac:dyDescent="0.25">
      <c r="A14" s="98">
        <v>55</v>
      </c>
      <c r="B14" s="99">
        <v>17</v>
      </c>
      <c r="C14" s="100" t="s">
        <v>258</v>
      </c>
      <c r="D14" s="101">
        <v>83.6</v>
      </c>
      <c r="E14" s="101">
        <v>72</v>
      </c>
      <c r="F14" s="101">
        <v>12123</v>
      </c>
      <c r="G14" s="101">
        <v>8</v>
      </c>
      <c r="H14" s="102"/>
      <c r="I14" s="102">
        <v>8</v>
      </c>
      <c r="J14" s="108" t="s">
        <v>283</v>
      </c>
    </row>
    <row r="15" spans="1:10" x14ac:dyDescent="0.25">
      <c r="A15" s="291" t="s">
        <v>285</v>
      </c>
      <c r="B15" s="292"/>
      <c r="C15" s="293"/>
      <c r="D15" s="97"/>
      <c r="E15" s="97"/>
      <c r="F15" s="97"/>
      <c r="G15" s="97"/>
      <c r="H15" s="88"/>
      <c r="I15" s="88"/>
      <c r="J15" s="79"/>
    </row>
    <row r="16" spans="1:10" x14ac:dyDescent="0.25">
      <c r="A16" s="109">
        <v>59</v>
      </c>
      <c r="B16" s="110">
        <v>3</v>
      </c>
      <c r="C16" s="111" t="s">
        <v>262</v>
      </c>
      <c r="D16" s="112">
        <v>32.9</v>
      </c>
      <c r="E16" s="112">
        <v>41</v>
      </c>
      <c r="F16" s="112">
        <v>567</v>
      </c>
      <c r="G16" s="112">
        <v>4</v>
      </c>
      <c r="H16" s="113"/>
      <c r="I16" s="113">
        <v>4</v>
      </c>
      <c r="J16" s="294" t="s">
        <v>280</v>
      </c>
    </row>
    <row r="17" spans="1:10" x14ac:dyDescent="0.25">
      <c r="A17" s="114">
        <v>60</v>
      </c>
      <c r="B17" s="115">
        <v>4</v>
      </c>
      <c r="C17" s="111" t="s">
        <v>263</v>
      </c>
      <c r="D17" s="112">
        <v>25.8</v>
      </c>
      <c r="E17" s="112"/>
      <c r="F17" s="112"/>
      <c r="G17" s="112"/>
      <c r="H17" s="113"/>
      <c r="I17" s="113"/>
      <c r="J17" s="294"/>
    </row>
    <row r="18" spans="1:10" x14ac:dyDescent="0.25">
      <c r="A18" s="109">
        <v>61</v>
      </c>
      <c r="B18" s="110">
        <v>5</v>
      </c>
      <c r="C18" s="111" t="s">
        <v>264</v>
      </c>
      <c r="D18" s="112">
        <v>38</v>
      </c>
      <c r="E18" s="112">
        <v>58</v>
      </c>
      <c r="F18" s="112">
        <v>1360</v>
      </c>
      <c r="G18" s="112">
        <v>4</v>
      </c>
      <c r="H18" s="113"/>
      <c r="I18" s="113">
        <v>4</v>
      </c>
      <c r="J18" s="294"/>
    </row>
    <row r="19" spans="1:10" x14ac:dyDescent="0.25">
      <c r="A19" s="114">
        <v>62</v>
      </c>
      <c r="B19" s="115">
        <v>6</v>
      </c>
      <c r="C19" s="111" t="s">
        <v>265</v>
      </c>
      <c r="D19" s="112">
        <v>27.4</v>
      </c>
      <c r="E19" s="112">
        <v>64</v>
      </c>
      <c r="F19" s="112">
        <v>762</v>
      </c>
      <c r="G19" s="112">
        <v>3</v>
      </c>
      <c r="H19" s="113"/>
      <c r="I19" s="113">
        <v>3</v>
      </c>
      <c r="J19" s="294"/>
    </row>
    <row r="20" spans="1:10" x14ac:dyDescent="0.25">
      <c r="A20" s="109">
        <v>63</v>
      </c>
      <c r="B20" s="110">
        <v>7</v>
      </c>
      <c r="C20" s="111" t="s">
        <v>266</v>
      </c>
      <c r="D20" s="112">
        <v>34.4</v>
      </c>
      <c r="E20" s="112">
        <v>59</v>
      </c>
      <c r="F20" s="112">
        <v>3600</v>
      </c>
      <c r="G20" s="112">
        <v>7</v>
      </c>
      <c r="H20" s="113"/>
      <c r="I20" s="113">
        <v>7</v>
      </c>
      <c r="J20" s="294"/>
    </row>
    <row r="21" spans="1:10" x14ac:dyDescent="0.25">
      <c r="A21" s="265" t="s">
        <v>268</v>
      </c>
      <c r="B21" s="266"/>
      <c r="C21" s="267"/>
      <c r="D21" s="97"/>
      <c r="E21" s="97"/>
      <c r="F21" s="97">
        <v>30682</v>
      </c>
      <c r="G21" s="79">
        <v>54</v>
      </c>
      <c r="H21" s="83"/>
      <c r="I21" s="88">
        <v>54</v>
      </c>
      <c r="J21" s="79"/>
    </row>
    <row r="22" spans="1:10" x14ac:dyDescent="0.25">
      <c r="A22" s="79"/>
      <c r="B22" s="79"/>
      <c r="C22" s="79"/>
      <c r="D22" s="79"/>
      <c r="E22" s="79"/>
      <c r="F22" s="79"/>
      <c r="G22" s="79"/>
      <c r="H22" s="79"/>
      <c r="I22" s="79"/>
      <c r="J22" s="79"/>
    </row>
    <row r="23" spans="1:10" x14ac:dyDescent="0.25">
      <c r="A23" s="79"/>
      <c r="B23" s="79"/>
      <c r="C23" s="79"/>
      <c r="D23" s="79"/>
      <c r="E23" s="79"/>
      <c r="F23" s="79"/>
      <c r="G23" s="79"/>
      <c r="H23" s="79"/>
      <c r="I23" s="79"/>
      <c r="J23" s="79"/>
    </row>
  </sheetData>
  <mergeCells count="9">
    <mergeCell ref="A15:C15"/>
    <mergeCell ref="J16:J20"/>
    <mergeCell ref="A21:C21"/>
    <mergeCell ref="C1:J1"/>
    <mergeCell ref="F2:I2"/>
    <mergeCell ref="A3:C3"/>
    <mergeCell ref="A4:C4"/>
    <mergeCell ref="J5:J9"/>
    <mergeCell ref="A11:C1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93E9A-A32C-2D4A-9185-00B1E9455016}">
  <dimension ref="A1:AD18"/>
  <sheetViews>
    <sheetView zoomScaleNormal="100" workbookViewId="0"/>
  </sheetViews>
  <sheetFormatPr defaultColWidth="11" defaultRowHeight="15.75" x14ac:dyDescent="0.25"/>
  <sheetData>
    <row r="1" spans="1:30" x14ac:dyDescent="0.25">
      <c r="A1" s="27"/>
      <c r="B1" s="27" t="s">
        <v>40</v>
      </c>
      <c r="C1" s="27" t="s">
        <v>40</v>
      </c>
      <c r="D1" s="27" t="s">
        <v>40</v>
      </c>
      <c r="E1" s="27" t="s">
        <v>40</v>
      </c>
      <c r="F1" s="27" t="s">
        <v>41</v>
      </c>
      <c r="G1" s="27" t="s">
        <v>42</v>
      </c>
      <c r="H1" s="27" t="s">
        <v>42</v>
      </c>
      <c r="I1" s="27" t="s">
        <v>43</v>
      </c>
      <c r="J1" s="27" t="s">
        <v>42</v>
      </c>
      <c r="K1" s="27" t="s">
        <v>43</v>
      </c>
      <c r="L1" s="27" t="s">
        <v>41</v>
      </c>
      <c r="M1" s="27" t="s">
        <v>44</v>
      </c>
      <c r="N1" s="27" t="s">
        <v>44</v>
      </c>
      <c r="O1" s="27" t="s">
        <v>44</v>
      </c>
      <c r="P1" s="27" t="s">
        <v>44</v>
      </c>
      <c r="Q1" s="27" t="s">
        <v>44</v>
      </c>
      <c r="R1" s="27" t="s">
        <v>44</v>
      </c>
      <c r="S1" s="27" t="s">
        <v>45</v>
      </c>
      <c r="T1" s="27" t="s">
        <v>43</v>
      </c>
      <c r="U1" s="27" t="s">
        <v>45</v>
      </c>
      <c r="V1" s="27"/>
      <c r="W1" s="27"/>
      <c r="X1" s="27"/>
      <c r="Y1" s="27"/>
      <c r="Z1" s="27"/>
      <c r="AA1" s="27"/>
      <c r="AB1" s="27"/>
      <c r="AC1" s="27"/>
      <c r="AD1" s="27"/>
    </row>
    <row r="2" spans="1:30" x14ac:dyDescent="0.25">
      <c r="A2" s="27"/>
      <c r="B2" s="27" t="s">
        <v>46</v>
      </c>
      <c r="C2" s="28" t="s">
        <v>47</v>
      </c>
      <c r="D2" s="29" t="s">
        <v>48</v>
      </c>
      <c r="E2" s="27" t="s">
        <v>49</v>
      </c>
      <c r="F2" s="27" t="s">
        <v>50</v>
      </c>
      <c r="G2" s="27" t="s">
        <v>51</v>
      </c>
      <c r="H2" s="27" t="s">
        <v>52</v>
      </c>
      <c r="I2" s="27" t="s">
        <v>53</v>
      </c>
      <c r="J2" s="27" t="s">
        <v>54</v>
      </c>
      <c r="K2" s="27" t="s">
        <v>55</v>
      </c>
      <c r="L2" s="27" t="s">
        <v>56</v>
      </c>
      <c r="M2" s="27" t="s">
        <v>57</v>
      </c>
      <c r="N2" s="27" t="s">
        <v>58</v>
      </c>
      <c r="O2" s="27" t="s">
        <v>59</v>
      </c>
      <c r="P2" s="27" t="s">
        <v>60</v>
      </c>
      <c r="Q2" s="27" t="s">
        <v>61</v>
      </c>
      <c r="R2" s="27" t="s">
        <v>62</v>
      </c>
      <c r="S2" s="27" t="s">
        <v>63</v>
      </c>
      <c r="T2" s="27" t="s">
        <v>64</v>
      </c>
      <c r="U2" s="27" t="s">
        <v>65</v>
      </c>
      <c r="V2" s="27"/>
      <c r="W2" s="27"/>
      <c r="X2" s="27"/>
      <c r="Y2" s="27"/>
      <c r="Z2" s="27"/>
      <c r="AA2" s="27"/>
      <c r="AB2" s="27"/>
      <c r="AC2" s="27"/>
      <c r="AD2" s="27"/>
    </row>
    <row r="3" spans="1:30" x14ac:dyDescent="0.25">
      <c r="A3" s="27" t="s">
        <v>66</v>
      </c>
      <c r="B3" s="27">
        <v>77.758122319999998</v>
      </c>
      <c r="C3" s="27">
        <v>234.2857143</v>
      </c>
      <c r="D3" s="29">
        <v>312</v>
      </c>
      <c r="E3" s="27">
        <v>2</v>
      </c>
      <c r="F3" s="29">
        <v>39</v>
      </c>
      <c r="G3" s="27">
        <v>5</v>
      </c>
      <c r="H3" s="30">
        <v>194.4</v>
      </c>
      <c r="I3" s="31">
        <v>0.5</v>
      </c>
      <c r="J3" s="30">
        <v>97.2</v>
      </c>
      <c r="K3" s="31">
        <v>0.3</v>
      </c>
      <c r="L3" s="30">
        <v>11.66</v>
      </c>
      <c r="M3" s="32" t="s">
        <v>67</v>
      </c>
      <c r="N3" s="32" t="s">
        <v>68</v>
      </c>
      <c r="O3" s="32" t="s">
        <v>69</v>
      </c>
      <c r="P3" s="32" t="s">
        <v>70</v>
      </c>
      <c r="Q3" s="32" t="s">
        <v>71</v>
      </c>
      <c r="R3" s="32" t="s">
        <v>72</v>
      </c>
      <c r="S3" s="34">
        <v>31189</v>
      </c>
      <c r="T3" s="31">
        <v>0.2</v>
      </c>
      <c r="U3" s="34">
        <v>6238</v>
      </c>
      <c r="V3" s="27"/>
      <c r="W3" s="27"/>
      <c r="X3" s="27"/>
      <c r="Y3" s="27"/>
      <c r="Z3" s="27"/>
      <c r="AA3" s="27"/>
      <c r="AB3" s="27"/>
      <c r="AC3" s="27"/>
      <c r="AD3" s="27"/>
    </row>
    <row r="4" spans="1:30" x14ac:dyDescent="0.25">
      <c r="A4" s="27" t="s">
        <v>73</v>
      </c>
      <c r="B4" s="27">
        <v>995.78980100000001</v>
      </c>
      <c r="C4" s="27">
        <v>781.42857140000001</v>
      </c>
      <c r="D4" s="29">
        <v>1777</v>
      </c>
      <c r="E4" s="27">
        <v>20</v>
      </c>
      <c r="F4" s="29">
        <v>50</v>
      </c>
      <c r="G4" s="27">
        <v>5</v>
      </c>
      <c r="H4" s="30">
        <v>248.95</v>
      </c>
      <c r="I4" s="31">
        <v>0.5</v>
      </c>
      <c r="J4" s="30">
        <v>124.47</v>
      </c>
      <c r="K4" s="31">
        <v>0.3</v>
      </c>
      <c r="L4" s="30">
        <v>14.94</v>
      </c>
      <c r="M4" s="32" t="s">
        <v>67</v>
      </c>
      <c r="N4" s="32" t="s">
        <v>74</v>
      </c>
      <c r="O4" s="32" t="s">
        <v>75</v>
      </c>
      <c r="P4" s="32" t="s">
        <v>76</v>
      </c>
      <c r="Q4" s="32" t="s">
        <v>71</v>
      </c>
      <c r="R4" s="32" t="s">
        <v>77</v>
      </c>
      <c r="S4" s="34">
        <v>160658</v>
      </c>
      <c r="T4" s="31">
        <v>0.2</v>
      </c>
      <c r="U4" s="34">
        <v>32132</v>
      </c>
      <c r="V4" s="27"/>
      <c r="W4" s="27"/>
      <c r="X4" s="27"/>
      <c r="Y4" s="27"/>
      <c r="Z4" s="27"/>
      <c r="AA4" s="27"/>
      <c r="AB4" s="27"/>
      <c r="AC4" s="27"/>
      <c r="AD4" s="27"/>
    </row>
    <row r="5" spans="1:30" x14ac:dyDescent="0.25">
      <c r="A5" s="27" t="s">
        <v>78</v>
      </c>
      <c r="B5" s="27">
        <v>304.89890259999999</v>
      </c>
      <c r="C5" s="27">
        <v>398.57142859999999</v>
      </c>
      <c r="D5" s="29">
        <v>703</v>
      </c>
      <c r="E5" s="27">
        <v>50</v>
      </c>
      <c r="F5" s="29">
        <v>6</v>
      </c>
      <c r="G5" s="27">
        <v>5</v>
      </c>
      <c r="H5" s="30">
        <v>30.49</v>
      </c>
      <c r="I5" s="31">
        <v>0.5</v>
      </c>
      <c r="J5" s="30">
        <v>15.24</v>
      </c>
      <c r="K5" s="31">
        <v>0.3</v>
      </c>
      <c r="L5" s="30">
        <v>1.83</v>
      </c>
      <c r="M5" s="32" t="s">
        <v>67</v>
      </c>
      <c r="N5" s="32" t="s">
        <v>79</v>
      </c>
      <c r="O5" s="32" t="s">
        <v>80</v>
      </c>
      <c r="P5" s="32" t="s">
        <v>81</v>
      </c>
      <c r="Q5" s="32" t="s">
        <v>71</v>
      </c>
      <c r="R5" s="32" t="s">
        <v>82</v>
      </c>
      <c r="S5" s="34">
        <v>66333</v>
      </c>
      <c r="T5" s="31">
        <v>0.2</v>
      </c>
      <c r="U5" s="34">
        <v>13267</v>
      </c>
      <c r="V5" s="27"/>
      <c r="W5" s="27"/>
      <c r="X5" s="27"/>
      <c r="Y5" s="27"/>
      <c r="Z5" s="27"/>
      <c r="AA5" s="27"/>
      <c r="AB5" s="27"/>
      <c r="AC5" s="27"/>
      <c r="AD5" s="27"/>
    </row>
    <row r="6" spans="1:30" x14ac:dyDescent="0.25">
      <c r="A6" s="27" t="s">
        <v>83</v>
      </c>
      <c r="B6" s="27">
        <v>719.06400210000004</v>
      </c>
      <c r="C6" s="27">
        <v>78.571428569999995</v>
      </c>
      <c r="D6" s="29">
        <v>798</v>
      </c>
      <c r="E6" s="27">
        <v>100</v>
      </c>
      <c r="F6" s="29">
        <v>7</v>
      </c>
      <c r="G6" s="27">
        <v>5</v>
      </c>
      <c r="H6" s="30">
        <v>35.950000000000003</v>
      </c>
      <c r="I6" s="31">
        <v>0.5</v>
      </c>
      <c r="J6" s="30">
        <v>17.98</v>
      </c>
      <c r="K6" s="31">
        <v>0.3</v>
      </c>
      <c r="L6" s="30">
        <v>2.16</v>
      </c>
      <c r="M6" s="32" t="s">
        <v>67</v>
      </c>
      <c r="N6" s="32" t="s">
        <v>84</v>
      </c>
      <c r="O6" s="32" t="s">
        <v>85</v>
      </c>
      <c r="P6" s="32" t="s">
        <v>86</v>
      </c>
      <c r="Q6" s="32" t="s">
        <v>71</v>
      </c>
      <c r="R6" s="32" t="s">
        <v>87</v>
      </c>
      <c r="S6" s="34">
        <v>63750</v>
      </c>
      <c r="T6" s="31">
        <v>0.2</v>
      </c>
      <c r="U6" s="34">
        <v>12750</v>
      </c>
      <c r="V6" s="27"/>
      <c r="W6" s="27"/>
      <c r="X6" s="27"/>
      <c r="Y6" s="27"/>
      <c r="Z6" s="27"/>
      <c r="AA6" s="27"/>
      <c r="AB6" s="27"/>
      <c r="AC6" s="27"/>
      <c r="AD6" s="27"/>
    </row>
    <row r="7" spans="1:30" x14ac:dyDescent="0.25">
      <c r="A7" s="27" t="s">
        <v>88</v>
      </c>
      <c r="B7" s="27">
        <v>168.38987750000001</v>
      </c>
      <c r="C7" s="27">
        <v>1767.857143</v>
      </c>
      <c r="D7" s="29">
        <v>1936</v>
      </c>
      <c r="E7" s="27">
        <v>50</v>
      </c>
      <c r="F7" s="29">
        <v>3</v>
      </c>
      <c r="G7" s="27">
        <v>5</v>
      </c>
      <c r="H7" s="30">
        <v>16.84</v>
      </c>
      <c r="I7" s="31">
        <v>0.5</v>
      </c>
      <c r="J7" s="30">
        <v>8.42</v>
      </c>
      <c r="K7" s="31">
        <v>0.3</v>
      </c>
      <c r="L7" s="30">
        <v>1.01</v>
      </c>
      <c r="M7" s="32" t="s">
        <v>67</v>
      </c>
      <c r="N7" s="32" t="s">
        <v>89</v>
      </c>
      <c r="O7" s="32" t="s">
        <v>90</v>
      </c>
      <c r="P7" s="32" t="s">
        <v>91</v>
      </c>
      <c r="Q7" s="32" t="s">
        <v>71</v>
      </c>
      <c r="R7" s="32" t="s">
        <v>92</v>
      </c>
      <c r="S7" s="34">
        <v>203171</v>
      </c>
      <c r="T7" s="31">
        <v>0.2</v>
      </c>
      <c r="U7" s="34">
        <v>40634</v>
      </c>
      <c r="V7" s="27"/>
      <c r="W7" s="27"/>
      <c r="X7" s="27"/>
      <c r="Y7" s="27"/>
      <c r="Z7" s="27"/>
      <c r="AA7" s="27"/>
      <c r="AB7" s="27"/>
      <c r="AC7" s="27"/>
      <c r="AD7" s="27"/>
    </row>
    <row r="8" spans="1:30" x14ac:dyDescent="0.25">
      <c r="A8" s="27" t="s">
        <v>93</v>
      </c>
      <c r="B8" s="27">
        <v>566.47517640000001</v>
      </c>
      <c r="C8" s="27">
        <v>840.17857140000001</v>
      </c>
      <c r="D8" s="29">
        <v>1407</v>
      </c>
      <c r="E8" s="27">
        <v>0</v>
      </c>
      <c r="F8" s="29" t="s">
        <v>94</v>
      </c>
      <c r="G8" s="27">
        <v>5</v>
      </c>
      <c r="H8" s="30" t="s">
        <v>94</v>
      </c>
      <c r="I8" s="31">
        <v>0.5</v>
      </c>
      <c r="J8" s="30" t="s">
        <v>95</v>
      </c>
      <c r="K8" s="31">
        <v>0.3</v>
      </c>
      <c r="L8" s="30" t="s">
        <v>96</v>
      </c>
      <c r="M8" s="32" t="s">
        <v>67</v>
      </c>
      <c r="N8" s="32" t="s">
        <v>97</v>
      </c>
      <c r="O8" s="32" t="s">
        <v>98</v>
      </c>
      <c r="P8" s="32" t="s">
        <v>99</v>
      </c>
      <c r="Q8" s="32" t="s">
        <v>71</v>
      </c>
      <c r="R8" s="32" t="s">
        <v>100</v>
      </c>
      <c r="S8" s="34">
        <v>100205</v>
      </c>
      <c r="T8" s="31">
        <v>0.2</v>
      </c>
      <c r="U8" s="34">
        <v>20041</v>
      </c>
      <c r="V8" s="27"/>
      <c r="W8" s="27"/>
      <c r="X8" s="27"/>
      <c r="Y8" s="27"/>
      <c r="Z8" s="27"/>
      <c r="AA8" s="27"/>
      <c r="AB8" s="27"/>
      <c r="AC8" s="27"/>
      <c r="AD8" s="27"/>
    </row>
    <row r="9" spans="1:30" x14ac:dyDescent="0.25">
      <c r="A9" s="27" t="s">
        <v>101</v>
      </c>
      <c r="B9" s="27">
        <v>0</v>
      </c>
      <c r="C9" s="27">
        <v>100</v>
      </c>
      <c r="D9" s="29">
        <v>100</v>
      </c>
      <c r="E9" s="27">
        <v>0</v>
      </c>
      <c r="F9" s="29" t="s">
        <v>94</v>
      </c>
      <c r="G9" s="27">
        <v>5</v>
      </c>
      <c r="H9" s="30" t="s">
        <v>94</v>
      </c>
      <c r="I9" s="31">
        <v>0.5</v>
      </c>
      <c r="J9" s="30" t="s">
        <v>95</v>
      </c>
      <c r="K9" s="31">
        <v>0.3</v>
      </c>
      <c r="L9" s="30" t="s">
        <v>96</v>
      </c>
      <c r="M9" s="32" t="s">
        <v>67</v>
      </c>
      <c r="N9" s="32" t="s">
        <v>102</v>
      </c>
      <c r="O9" s="32" t="s">
        <v>103</v>
      </c>
      <c r="P9" s="32" t="s">
        <v>104</v>
      </c>
      <c r="Q9" s="32" t="s">
        <v>71</v>
      </c>
      <c r="R9" s="32" t="s">
        <v>105</v>
      </c>
      <c r="S9" s="34">
        <v>8360</v>
      </c>
      <c r="T9" s="31">
        <v>0.2</v>
      </c>
      <c r="U9" s="34">
        <v>1672</v>
      </c>
      <c r="V9" s="27"/>
      <c r="W9" s="27"/>
      <c r="X9" s="27"/>
      <c r="Y9" s="27"/>
      <c r="Z9" s="27"/>
      <c r="AA9" s="27"/>
      <c r="AB9" s="27"/>
      <c r="AC9" s="27"/>
      <c r="AD9" s="27"/>
    </row>
    <row r="10" spans="1:30" x14ac:dyDescent="0.25">
      <c r="A10" s="27" t="s">
        <v>106</v>
      </c>
      <c r="B10" s="27">
        <v>0</v>
      </c>
      <c r="C10" s="27">
        <v>0</v>
      </c>
      <c r="D10" s="29" t="s">
        <v>94</v>
      </c>
      <c r="E10" s="27">
        <v>0</v>
      </c>
      <c r="F10" s="29" t="s">
        <v>94</v>
      </c>
      <c r="G10" s="27">
        <v>5</v>
      </c>
      <c r="H10" s="30" t="s">
        <v>94</v>
      </c>
      <c r="I10" s="31">
        <v>0.5</v>
      </c>
      <c r="J10" s="30" t="s">
        <v>95</v>
      </c>
      <c r="K10" s="31">
        <v>0.3</v>
      </c>
      <c r="L10" s="30" t="s">
        <v>96</v>
      </c>
      <c r="M10" s="32" t="s">
        <v>67</v>
      </c>
      <c r="N10" s="32" t="s">
        <v>102</v>
      </c>
      <c r="O10" s="32" t="s">
        <v>103</v>
      </c>
      <c r="P10" s="32" t="s">
        <v>107</v>
      </c>
      <c r="Q10" s="32" t="s">
        <v>71</v>
      </c>
      <c r="R10" s="32" t="s">
        <v>103</v>
      </c>
      <c r="S10" s="34">
        <v>0</v>
      </c>
      <c r="T10" s="31">
        <v>0.2</v>
      </c>
      <c r="U10" s="34">
        <v>0</v>
      </c>
      <c r="V10" s="27"/>
      <c r="W10" s="27"/>
      <c r="X10" s="27"/>
      <c r="Y10" s="27"/>
      <c r="Z10" s="27"/>
      <c r="AA10" s="27"/>
      <c r="AB10" s="27"/>
      <c r="AC10" s="27"/>
      <c r="AD10" s="27"/>
    </row>
    <row r="11" spans="1:30" x14ac:dyDescent="0.25">
      <c r="A11" s="27" t="s">
        <v>24</v>
      </c>
      <c r="B11" s="27">
        <v>2832.3758819999998</v>
      </c>
      <c r="C11" s="27">
        <v>4200.8928569999998</v>
      </c>
      <c r="D11" s="29">
        <v>7033</v>
      </c>
      <c r="E11" s="27"/>
      <c r="F11" s="29">
        <v>105</v>
      </c>
      <c r="G11" s="27"/>
      <c r="H11" s="30">
        <v>526.62</v>
      </c>
      <c r="I11" s="27"/>
      <c r="J11" s="30">
        <v>263.31</v>
      </c>
      <c r="K11" s="27"/>
      <c r="L11" s="30">
        <v>31.6</v>
      </c>
      <c r="M11" s="27"/>
      <c r="N11" s="32" t="s">
        <v>108</v>
      </c>
      <c r="O11" s="32" t="s">
        <v>109</v>
      </c>
      <c r="P11" s="32" t="s">
        <v>110</v>
      </c>
      <c r="Q11" s="32"/>
      <c r="R11" s="32" t="s">
        <v>111</v>
      </c>
      <c r="S11" s="34">
        <v>633666</v>
      </c>
      <c r="T11" s="27"/>
      <c r="U11" s="34">
        <v>126733</v>
      </c>
      <c r="V11" s="27"/>
      <c r="W11" s="27"/>
      <c r="X11" s="27"/>
      <c r="Y11" s="27"/>
      <c r="Z11" s="27"/>
      <c r="AA11" s="27"/>
      <c r="AB11" s="27"/>
      <c r="AC11" s="27"/>
      <c r="AD11" s="27"/>
    </row>
    <row r="12" spans="1:30" x14ac:dyDescent="0.25">
      <c r="A12" s="27"/>
      <c r="B12" s="27"/>
      <c r="C12" s="27"/>
      <c r="D12" s="27"/>
      <c r="E12" s="27"/>
      <c r="F12" s="27"/>
      <c r="G12" s="27"/>
      <c r="H12" s="27"/>
      <c r="I12" s="27"/>
      <c r="J12" s="27"/>
      <c r="K12" s="27"/>
      <c r="L12" s="27"/>
      <c r="M12" s="27"/>
      <c r="N12" s="27"/>
      <c r="O12" s="27"/>
      <c r="P12" s="27"/>
      <c r="Q12" s="27"/>
      <c r="R12" s="27"/>
      <c r="S12" s="27">
        <f>S11/220</f>
        <v>2880.3</v>
      </c>
      <c r="T12" s="27"/>
      <c r="U12" s="27"/>
      <c r="V12" s="27"/>
      <c r="W12" s="27"/>
      <c r="X12" s="27"/>
      <c r="Y12" s="27"/>
      <c r="Z12" s="27"/>
      <c r="AA12" s="27"/>
      <c r="AB12" s="27"/>
      <c r="AC12" s="27"/>
      <c r="AD12" s="27"/>
    </row>
    <row r="13" spans="1:30" x14ac:dyDescent="0.25">
      <c r="A13" s="27"/>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row>
    <row r="14" spans="1:30" x14ac:dyDescent="0.25">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row>
    <row r="15" spans="1:30" x14ac:dyDescent="0.25">
      <c r="A15" s="27" t="s">
        <v>112</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row>
    <row r="16" spans="1:30" x14ac:dyDescent="0.25">
      <c r="A16" s="27"/>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row>
    <row r="17" spans="1:30" x14ac:dyDescent="0.25">
      <c r="A17" s="27"/>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row>
    <row r="18" spans="1:30" x14ac:dyDescent="0.25">
      <c r="A18" s="27"/>
      <c r="B18" s="27"/>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CF164-0A6B-5944-888E-9EA56ABDF567}">
  <dimension ref="A1:R65"/>
  <sheetViews>
    <sheetView zoomScale="70" zoomScaleNormal="70" workbookViewId="0">
      <selection activeCell="E22" sqref="E22"/>
    </sheetView>
  </sheetViews>
  <sheetFormatPr defaultColWidth="11" defaultRowHeight="15.75" x14ac:dyDescent="0.25"/>
  <cols>
    <col min="1" max="1" width="19.125" customWidth="1"/>
    <col min="7" max="7" width="13.375" customWidth="1"/>
    <col min="10" max="10" width="16" bestFit="1" customWidth="1"/>
  </cols>
  <sheetData>
    <row r="1" spans="1:18" x14ac:dyDescent="0.25">
      <c r="D1" t="s">
        <v>12</v>
      </c>
    </row>
    <row r="2" spans="1:18" ht="18" x14ac:dyDescent="0.25">
      <c r="A2" s="7" t="s">
        <v>13</v>
      </c>
      <c r="B2" s="8">
        <v>9313800</v>
      </c>
      <c r="C2" s="8"/>
      <c r="E2" s="5"/>
      <c r="J2" s="191" t="s">
        <v>455</v>
      </c>
    </row>
    <row r="3" spans="1:18" x14ac:dyDescent="0.25">
      <c r="A3" s="3" t="s">
        <v>7</v>
      </c>
      <c r="B3" s="4">
        <v>2438900</v>
      </c>
      <c r="C3" s="4"/>
      <c r="D3" s="5">
        <f>B3/B2</f>
        <v>0.26185874723528529</v>
      </c>
      <c r="E3" s="5"/>
    </row>
    <row r="4" spans="1:18" ht="18" x14ac:dyDescent="0.25">
      <c r="A4" s="3" t="s">
        <v>8</v>
      </c>
      <c r="B4" s="4">
        <v>6874900</v>
      </c>
      <c r="C4" s="4"/>
      <c r="D4" s="5">
        <f>B4/B2</f>
        <v>0.73814125276471476</v>
      </c>
      <c r="E4" s="5"/>
      <c r="J4" s="191" t="s">
        <v>456</v>
      </c>
      <c r="Q4">
        <f>31.43</f>
        <v>31.43</v>
      </c>
    </row>
    <row r="5" spans="1:18" ht="18" x14ac:dyDescent="0.25">
      <c r="A5" s="3" t="s">
        <v>9</v>
      </c>
      <c r="B5" s="4">
        <v>4589700</v>
      </c>
      <c r="D5" s="5">
        <f>B5/B2</f>
        <v>0.49278489982606455</v>
      </c>
      <c r="E5" s="5"/>
      <c r="J5" s="191" t="s">
        <v>457</v>
      </c>
      <c r="Q5">
        <v>18.13</v>
      </c>
    </row>
    <row r="6" spans="1:18" ht="18" x14ac:dyDescent="0.25">
      <c r="A6" s="3" t="s">
        <v>10</v>
      </c>
      <c r="B6" s="4">
        <v>4724100</v>
      </c>
      <c r="D6" s="5">
        <f>B6/B2</f>
        <v>0.50721510017393545</v>
      </c>
      <c r="J6" s="191" t="s">
        <v>458</v>
      </c>
      <c r="Q6">
        <f>SUM(Q4:Q5)</f>
        <v>49.56</v>
      </c>
      <c r="R6" t="s">
        <v>462</v>
      </c>
    </row>
    <row r="7" spans="1:18" ht="18" x14ac:dyDescent="0.25">
      <c r="A7" s="6" t="s">
        <v>11</v>
      </c>
      <c r="J7" s="191" t="s">
        <v>459</v>
      </c>
    </row>
    <row r="8" spans="1:18" ht="18" x14ac:dyDescent="0.25">
      <c r="J8" s="191" t="s">
        <v>460</v>
      </c>
    </row>
    <row r="9" spans="1:18" x14ac:dyDescent="0.25">
      <c r="A9" s="9" t="s">
        <v>14</v>
      </c>
      <c r="B9" s="4">
        <v>172668</v>
      </c>
      <c r="C9" s="4"/>
    </row>
    <row r="10" spans="1:18" x14ac:dyDescent="0.25">
      <c r="A10" s="6" t="s">
        <v>15</v>
      </c>
      <c r="K10" t="s">
        <v>461</v>
      </c>
    </row>
    <row r="13" spans="1:18" ht="18" x14ac:dyDescent="0.25">
      <c r="A13" s="10" t="s">
        <v>16</v>
      </c>
    </row>
    <row r="14" spans="1:18" x14ac:dyDescent="0.25">
      <c r="A14" t="s">
        <v>17</v>
      </c>
    </row>
    <row r="16" spans="1:18" x14ac:dyDescent="0.25">
      <c r="A16" t="s">
        <v>18</v>
      </c>
      <c r="B16" t="s">
        <v>19</v>
      </c>
      <c r="C16" t="s">
        <v>20</v>
      </c>
      <c r="D16" t="s">
        <v>21</v>
      </c>
      <c r="F16" t="s">
        <v>466</v>
      </c>
    </row>
    <row r="17" spans="1:13" x14ac:dyDescent="0.25">
      <c r="A17">
        <v>6.5</v>
      </c>
      <c r="B17" s="11">
        <v>0.21</v>
      </c>
      <c r="C17" s="11">
        <v>0.53</v>
      </c>
      <c r="D17" s="11">
        <v>0.55000000000000004</v>
      </c>
      <c r="F17" s="192">
        <v>0.49559999999999998</v>
      </c>
    </row>
    <row r="20" spans="1:13" x14ac:dyDescent="0.25">
      <c r="B20" t="s">
        <v>121</v>
      </c>
      <c r="C20" t="s">
        <v>122</v>
      </c>
      <c r="D20" t="s">
        <v>123</v>
      </c>
      <c r="E20" t="s">
        <v>12</v>
      </c>
      <c r="G20" t="s">
        <v>124</v>
      </c>
      <c r="H20" t="s">
        <v>125</v>
      </c>
      <c r="I20" t="s">
        <v>126</v>
      </c>
      <c r="J20" t="s">
        <v>127</v>
      </c>
    </row>
    <row r="21" spans="1:13" x14ac:dyDescent="0.25">
      <c r="A21" t="s">
        <v>122</v>
      </c>
      <c r="B21">
        <v>2020</v>
      </c>
      <c r="C21" s="4">
        <v>9442000</v>
      </c>
      <c r="D21">
        <v>650000</v>
      </c>
      <c r="E21" s="5">
        <f>D21/C21</f>
        <v>6.8841347172209272E-2</v>
      </c>
      <c r="F21" t="s">
        <v>569</v>
      </c>
      <c r="G21" s="36">
        <f>C21*0.65</f>
        <v>6137300</v>
      </c>
      <c r="H21" s="37">
        <f>G21/6.5</f>
        <v>944200</v>
      </c>
      <c r="I21" s="38">
        <f>C21*49.5%</f>
        <v>4673790</v>
      </c>
      <c r="J21" s="37">
        <f>G21*49.5%</f>
        <v>3037963.5</v>
      </c>
      <c r="L21" s="4">
        <f>D21/6.5</f>
        <v>100000</v>
      </c>
    </row>
    <row r="22" spans="1:13" x14ac:dyDescent="0.25">
      <c r="A22" t="s">
        <v>128</v>
      </c>
      <c r="C22" s="8">
        <v>182000</v>
      </c>
      <c r="E22" s="5">
        <f>2268426/C21</f>
        <v>0.24024846430840924</v>
      </c>
      <c r="F22" t="s">
        <v>465</v>
      </c>
      <c r="G22" t="s">
        <v>129</v>
      </c>
    </row>
    <row r="23" spans="1:13" x14ac:dyDescent="0.25">
      <c r="A23" t="s">
        <v>130</v>
      </c>
      <c r="C23" s="8">
        <v>786000</v>
      </c>
    </row>
    <row r="24" spans="1:13" x14ac:dyDescent="0.25">
      <c r="A24" t="s">
        <v>131</v>
      </c>
    </row>
    <row r="25" spans="1:13" x14ac:dyDescent="0.25">
      <c r="A25" t="s">
        <v>132</v>
      </c>
      <c r="C25" s="8">
        <v>786000</v>
      </c>
    </row>
    <row r="26" spans="1:13" x14ac:dyDescent="0.25">
      <c r="A26" t="s">
        <v>133</v>
      </c>
      <c r="B26">
        <v>2021</v>
      </c>
      <c r="C26" s="8">
        <v>762000</v>
      </c>
    </row>
    <row r="27" spans="1:13" x14ac:dyDescent="0.25">
      <c r="A27" t="s">
        <v>134</v>
      </c>
      <c r="B27">
        <v>2007</v>
      </c>
      <c r="C27" s="8">
        <v>850000</v>
      </c>
    </row>
    <row r="28" spans="1:13" x14ac:dyDescent="0.25">
      <c r="A28" t="s">
        <v>135</v>
      </c>
      <c r="B28">
        <v>2009</v>
      </c>
      <c r="C28" s="8">
        <v>3223045</v>
      </c>
      <c r="D28" s="4">
        <v>3900000</v>
      </c>
      <c r="H28" t="s">
        <v>502</v>
      </c>
      <c r="J28" s="37">
        <f>C21/6.5</f>
        <v>1452615.3846153845</v>
      </c>
      <c r="L28" s="202" t="s">
        <v>503</v>
      </c>
    </row>
    <row r="29" spans="1:13" x14ac:dyDescent="0.25">
      <c r="A29" t="s">
        <v>136</v>
      </c>
      <c r="B29">
        <v>2021</v>
      </c>
      <c r="C29" s="8">
        <v>6000000</v>
      </c>
      <c r="E29">
        <f>C29/C23</f>
        <v>7.6335877862595423</v>
      </c>
      <c r="F29" t="s">
        <v>498</v>
      </c>
      <c r="H29" t="s">
        <v>504</v>
      </c>
    </row>
    <row r="30" spans="1:13" x14ac:dyDescent="0.25">
      <c r="A30" t="s">
        <v>137</v>
      </c>
      <c r="B30">
        <v>2021</v>
      </c>
      <c r="C30" s="8">
        <v>2500000</v>
      </c>
      <c r="E30">
        <f>C30/C23</f>
        <v>3.1806615776081424</v>
      </c>
      <c r="F30" t="s">
        <v>499</v>
      </c>
      <c r="H30" s="4">
        <v>263898</v>
      </c>
      <c r="I30" t="s">
        <v>505</v>
      </c>
      <c r="J30" s="36">
        <f>H30/100000</f>
        <v>2.6389800000000001</v>
      </c>
      <c r="L30" s="42">
        <f>H30+H31</f>
        <v>863263</v>
      </c>
      <c r="M30" t="s">
        <v>506</v>
      </c>
    </row>
    <row r="31" spans="1:13" x14ac:dyDescent="0.25">
      <c r="H31">
        <v>599365</v>
      </c>
      <c r="I31" t="s">
        <v>501</v>
      </c>
      <c r="J31">
        <f>H31/100000</f>
        <v>5.9936499999999997</v>
      </c>
    </row>
    <row r="32" spans="1:13" x14ac:dyDescent="0.25">
      <c r="A32" s="39" t="s">
        <v>138</v>
      </c>
    </row>
    <row r="33" spans="1:12" x14ac:dyDescent="0.25">
      <c r="A33" s="39" t="s">
        <v>139</v>
      </c>
    </row>
    <row r="34" spans="1:12" x14ac:dyDescent="0.25">
      <c r="A34" s="39"/>
    </row>
    <row r="35" spans="1:12" x14ac:dyDescent="0.25">
      <c r="A35" s="39" t="s">
        <v>140</v>
      </c>
    </row>
    <row r="36" spans="1:12" x14ac:dyDescent="0.25">
      <c r="A36" s="39"/>
    </row>
    <row r="37" spans="1:12" x14ac:dyDescent="0.25">
      <c r="A37" s="39" t="s">
        <v>141</v>
      </c>
    </row>
    <row r="38" spans="1:12" x14ac:dyDescent="0.25">
      <c r="A38" s="39" t="s">
        <v>142</v>
      </c>
    </row>
    <row r="39" spans="1:12" x14ac:dyDescent="0.25">
      <c r="A39" s="39"/>
    </row>
    <row r="41" spans="1:12" x14ac:dyDescent="0.25">
      <c r="A41" s="43"/>
      <c r="B41" s="43"/>
      <c r="C41" s="43"/>
      <c r="D41" s="43"/>
      <c r="E41" s="43"/>
      <c r="F41" s="43"/>
      <c r="G41" s="43"/>
      <c r="H41" s="43"/>
      <c r="I41" s="43"/>
      <c r="J41" s="44"/>
      <c r="K41" s="44"/>
      <c r="L41" s="45"/>
    </row>
    <row r="42" spans="1:12" x14ac:dyDescent="0.25">
      <c r="A42" s="46"/>
      <c r="B42" s="47"/>
      <c r="C42" s="48"/>
      <c r="D42" s="46"/>
      <c r="E42" s="46"/>
      <c r="F42" s="46"/>
      <c r="G42" s="46"/>
      <c r="H42" s="46"/>
      <c r="I42" s="49"/>
      <c r="J42" s="46"/>
      <c r="K42" s="46"/>
      <c r="L42" s="48"/>
    </row>
    <row r="43" spans="1:12" x14ac:dyDescent="0.25">
      <c r="A43" s="46"/>
      <c r="B43" s="47"/>
      <c r="C43" s="48"/>
      <c r="D43" s="46"/>
      <c r="E43" s="46"/>
      <c r="F43" s="46"/>
      <c r="G43" s="46"/>
      <c r="H43" s="46"/>
      <c r="I43" s="46"/>
      <c r="J43" s="46"/>
      <c r="K43" s="46"/>
      <c r="L43" s="48"/>
    </row>
    <row r="44" spans="1:12" x14ac:dyDescent="0.25">
      <c r="A44" s="46"/>
      <c r="B44" s="47"/>
      <c r="C44" s="48"/>
      <c r="D44" s="46"/>
      <c r="E44" s="46"/>
      <c r="F44" s="46"/>
      <c r="G44" s="46"/>
      <c r="H44" s="46"/>
      <c r="I44" s="46"/>
      <c r="J44" s="46"/>
      <c r="K44" s="46"/>
      <c r="L44" s="48"/>
    </row>
    <row r="45" spans="1:12" x14ac:dyDescent="0.25">
      <c r="A45" s="46"/>
      <c r="B45" s="47"/>
      <c r="C45" s="48"/>
      <c r="D45" s="46"/>
      <c r="E45" s="46"/>
      <c r="F45" s="46"/>
      <c r="G45" s="46"/>
      <c r="H45" s="46"/>
      <c r="I45" s="46"/>
      <c r="J45" s="46"/>
      <c r="K45" s="46"/>
      <c r="L45" s="48"/>
    </row>
    <row r="46" spans="1:12" x14ac:dyDescent="0.25">
      <c r="A46" s="46"/>
      <c r="B46" s="47"/>
      <c r="C46" s="48"/>
      <c r="D46" s="46"/>
      <c r="E46" s="46"/>
      <c r="F46" s="46"/>
      <c r="G46" s="46"/>
      <c r="H46" s="46"/>
      <c r="I46" s="46"/>
      <c r="J46" s="46"/>
      <c r="K46" s="46"/>
      <c r="L46" s="48"/>
    </row>
    <row r="47" spans="1:12" x14ac:dyDescent="0.25">
      <c r="A47" s="46"/>
      <c r="B47" s="47"/>
      <c r="C47" s="48"/>
      <c r="D47" s="46"/>
      <c r="E47" s="46"/>
      <c r="F47" s="46"/>
      <c r="G47" s="46"/>
      <c r="H47" s="46"/>
      <c r="I47" s="46"/>
      <c r="J47" s="46"/>
      <c r="K47" s="46"/>
      <c r="L47" s="48"/>
    </row>
    <row r="48" spans="1:12" x14ac:dyDescent="0.25">
      <c r="A48" s="46"/>
      <c r="B48" s="47"/>
      <c r="C48" s="48"/>
      <c r="D48" s="46"/>
      <c r="E48" s="46"/>
      <c r="F48" s="46"/>
      <c r="G48" s="46"/>
      <c r="H48" s="46"/>
      <c r="I48" s="46"/>
      <c r="J48" s="46"/>
      <c r="K48" s="46"/>
      <c r="L48" s="48"/>
    </row>
    <row r="49" spans="1:12" x14ac:dyDescent="0.25">
      <c r="A49" s="46"/>
      <c r="B49" s="47"/>
      <c r="C49" s="48"/>
      <c r="D49" s="46"/>
      <c r="E49" s="46"/>
      <c r="F49" s="46"/>
      <c r="G49" s="46"/>
      <c r="H49" s="46"/>
      <c r="I49" s="46"/>
      <c r="J49" s="46"/>
      <c r="K49" s="46"/>
      <c r="L49" s="48"/>
    </row>
    <row r="50" spans="1:12" x14ac:dyDescent="0.25">
      <c r="A50" s="46"/>
      <c r="B50" s="47"/>
      <c r="C50" s="48"/>
      <c r="D50" s="46"/>
      <c r="E50" s="46"/>
      <c r="F50" s="46"/>
      <c r="G50" s="46"/>
      <c r="H50" s="46"/>
      <c r="I50" s="46"/>
      <c r="J50" s="46"/>
      <c r="K50" s="46"/>
      <c r="L50" s="48"/>
    </row>
    <row r="51" spans="1:12" x14ac:dyDescent="0.25">
      <c r="A51" s="46"/>
      <c r="B51" s="47"/>
      <c r="C51" s="48"/>
      <c r="D51" s="46"/>
      <c r="E51" s="46"/>
      <c r="F51" s="46"/>
      <c r="G51" s="46"/>
      <c r="H51" s="46"/>
      <c r="I51" s="46"/>
      <c r="J51" s="46"/>
      <c r="K51" s="46"/>
      <c r="L51" s="48"/>
    </row>
    <row r="52" spans="1:12" x14ac:dyDescent="0.25">
      <c r="A52" s="46"/>
      <c r="B52" s="47"/>
      <c r="C52" s="48"/>
      <c r="D52" s="46"/>
      <c r="E52" s="46"/>
      <c r="F52" s="46"/>
      <c r="G52" s="46"/>
      <c r="H52" s="46"/>
      <c r="I52" s="46"/>
      <c r="J52" s="46"/>
      <c r="K52" s="46"/>
      <c r="L52" s="48"/>
    </row>
    <row r="53" spans="1:12" x14ac:dyDescent="0.25">
      <c r="A53" s="46"/>
      <c r="B53" s="47"/>
      <c r="C53" s="48"/>
      <c r="D53" s="46"/>
      <c r="E53" s="46"/>
      <c r="F53" s="46"/>
      <c r="G53" s="46"/>
      <c r="H53" s="46"/>
      <c r="I53" s="46"/>
      <c r="J53" s="46"/>
      <c r="K53" s="46"/>
      <c r="L53" s="48"/>
    </row>
    <row r="54" spans="1:12" x14ac:dyDescent="0.25">
      <c r="A54" s="46"/>
      <c r="B54" s="47"/>
      <c r="C54" s="48"/>
      <c r="D54" s="46"/>
      <c r="E54" s="46"/>
      <c r="F54" s="46"/>
      <c r="G54" s="46"/>
      <c r="H54" s="46"/>
      <c r="I54" s="46"/>
      <c r="J54" s="46"/>
      <c r="K54" s="46"/>
      <c r="L54" s="48"/>
    </row>
    <row r="55" spans="1:12" x14ac:dyDescent="0.25">
      <c r="A55" s="46"/>
      <c r="B55" s="47"/>
      <c r="C55" s="48"/>
      <c r="D55" s="46"/>
      <c r="E55" s="46"/>
      <c r="F55" s="46"/>
      <c r="G55" s="46"/>
      <c r="H55" s="46"/>
      <c r="I55" s="46"/>
      <c r="J55" s="46"/>
      <c r="K55" s="46"/>
      <c r="L55" s="48"/>
    </row>
    <row r="56" spans="1:12" x14ac:dyDescent="0.25">
      <c r="A56" s="46"/>
      <c r="B56" s="47"/>
      <c r="C56" s="48"/>
      <c r="D56" s="46"/>
      <c r="E56" s="50"/>
      <c r="F56" s="46"/>
      <c r="G56" s="46"/>
      <c r="H56" s="46"/>
      <c r="I56" s="46"/>
      <c r="J56" s="46"/>
      <c r="K56" s="46"/>
      <c r="L56" s="48"/>
    </row>
    <row r="57" spans="1:12" x14ac:dyDescent="0.25">
      <c r="A57" s="46"/>
      <c r="B57" s="47"/>
      <c r="C57" s="48"/>
      <c r="D57" s="46"/>
      <c r="E57" s="46"/>
      <c r="F57" s="46"/>
      <c r="G57" s="46"/>
      <c r="H57" s="46"/>
      <c r="I57" s="46"/>
      <c r="J57" s="46"/>
      <c r="K57" s="46"/>
      <c r="L57" s="48"/>
    </row>
    <row r="58" spans="1:12" x14ac:dyDescent="0.25">
      <c r="A58" s="46"/>
      <c r="B58" s="47"/>
      <c r="C58" s="48"/>
      <c r="D58" s="46"/>
      <c r="E58" s="46"/>
      <c r="F58" s="46"/>
      <c r="G58" s="46"/>
      <c r="H58" s="46"/>
      <c r="I58" s="46"/>
      <c r="J58" s="46"/>
      <c r="K58" s="46"/>
      <c r="L58" s="48"/>
    </row>
    <row r="59" spans="1:12" x14ac:dyDescent="0.25">
      <c r="A59" s="46"/>
      <c r="B59" s="47"/>
      <c r="C59" s="48"/>
      <c r="D59" s="46"/>
      <c r="E59" s="46"/>
      <c r="F59" s="46"/>
      <c r="G59" s="46"/>
      <c r="H59" s="46"/>
      <c r="I59" s="46"/>
      <c r="J59" s="46"/>
      <c r="K59" s="46"/>
      <c r="L59" s="48"/>
    </row>
    <row r="60" spans="1:12" x14ac:dyDescent="0.25">
      <c r="A60" s="302"/>
      <c r="B60" s="302"/>
      <c r="C60" s="302"/>
      <c r="D60" s="50"/>
      <c r="E60" s="50"/>
      <c r="F60" s="50"/>
      <c r="G60" s="50"/>
      <c r="H60" s="50"/>
      <c r="I60" s="50"/>
      <c r="J60" s="50"/>
      <c r="K60" s="50"/>
      <c r="L60" s="51"/>
    </row>
    <row r="61" spans="1:12" x14ac:dyDescent="0.25">
      <c r="A61" s="12"/>
      <c r="B61" s="12"/>
    </row>
    <row r="63" spans="1:12" x14ac:dyDescent="0.25">
      <c r="G63" s="4"/>
    </row>
    <row r="65" spans="6:8" x14ac:dyDescent="0.25">
      <c r="F65" s="4"/>
      <c r="G65" s="4"/>
      <c r="H65" s="4"/>
    </row>
  </sheetData>
  <mergeCells count="1">
    <mergeCell ref="A60:C60"/>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45754-2102-F542-8C91-B3F707EFCBE8}">
  <dimension ref="A1:N52"/>
  <sheetViews>
    <sheetView workbookViewId="0">
      <selection activeCell="E13" sqref="E13"/>
    </sheetView>
  </sheetViews>
  <sheetFormatPr defaultColWidth="11" defaultRowHeight="15.75" x14ac:dyDescent="0.25"/>
  <cols>
    <col min="5" max="5" width="11" bestFit="1" customWidth="1"/>
    <col min="6" max="6" width="11.625" bestFit="1" customWidth="1"/>
    <col min="7" max="8" width="11" bestFit="1" customWidth="1"/>
  </cols>
  <sheetData>
    <row r="1" spans="1:14" ht="25.5" x14ac:dyDescent="0.25">
      <c r="A1" s="43" t="s">
        <v>160</v>
      </c>
      <c r="B1" s="43" t="s">
        <v>161</v>
      </c>
      <c r="C1" s="43" t="s">
        <v>162</v>
      </c>
      <c r="D1" s="43" t="s">
        <v>163</v>
      </c>
      <c r="E1" s="43" t="s">
        <v>164</v>
      </c>
      <c r="F1" s="43" t="s">
        <v>122</v>
      </c>
      <c r="G1" s="43" t="s">
        <v>26</v>
      </c>
      <c r="H1" s="43" t="s">
        <v>165</v>
      </c>
      <c r="I1" s="43" t="s">
        <v>166</v>
      </c>
      <c r="J1" s="44" t="s">
        <v>167</v>
      </c>
      <c r="K1" s="44" t="s">
        <v>168</v>
      </c>
      <c r="L1" s="45" t="s">
        <v>169</v>
      </c>
      <c r="N1" t="s">
        <v>196</v>
      </c>
    </row>
    <row r="2" spans="1:14" x14ac:dyDescent="0.25">
      <c r="A2" s="46">
        <v>1</v>
      </c>
      <c r="B2" s="47" t="s">
        <v>170</v>
      </c>
      <c r="C2" s="48" t="s">
        <v>570</v>
      </c>
      <c r="D2" s="46">
        <v>4</v>
      </c>
      <c r="E2" s="46">
        <v>57</v>
      </c>
      <c r="F2" s="219">
        <v>116461</v>
      </c>
      <c r="G2" s="219">
        <v>14476</v>
      </c>
      <c r="H2" s="219">
        <v>1738</v>
      </c>
      <c r="I2" s="49">
        <v>18.8</v>
      </c>
      <c r="J2" s="46">
        <v>9376.7999999999993</v>
      </c>
      <c r="K2" s="46">
        <v>7802.88</v>
      </c>
      <c r="L2" s="48" t="s">
        <v>171</v>
      </c>
      <c r="N2" s="35">
        <f t="shared" ref="N2:N20" si="0">F2/G2</f>
        <v>8.045109146172976</v>
      </c>
    </row>
    <row r="3" spans="1:14" x14ac:dyDescent="0.25">
      <c r="A3" s="46">
        <v>2</v>
      </c>
      <c r="B3" s="47" t="s">
        <v>170</v>
      </c>
      <c r="C3" s="48" t="s">
        <v>226</v>
      </c>
      <c r="D3" s="46">
        <v>7</v>
      </c>
      <c r="E3" s="46">
        <v>53</v>
      </c>
      <c r="F3" s="219">
        <v>46106</v>
      </c>
      <c r="G3" s="219">
        <v>6284</v>
      </c>
      <c r="H3" s="219">
        <v>388</v>
      </c>
      <c r="I3" s="46">
        <v>15.9</v>
      </c>
      <c r="J3" s="46">
        <v>30576.489999999998</v>
      </c>
      <c r="K3" s="46">
        <v>9323.92</v>
      </c>
      <c r="L3" s="48" t="s">
        <v>172</v>
      </c>
      <c r="N3" s="35">
        <f t="shared" si="0"/>
        <v>7.3370464672183324</v>
      </c>
    </row>
    <row r="4" spans="1:14" x14ac:dyDescent="0.25">
      <c r="A4" s="46">
        <v>3</v>
      </c>
      <c r="B4" s="47" t="s">
        <v>170</v>
      </c>
      <c r="C4" s="48" t="s">
        <v>222</v>
      </c>
      <c r="D4" s="46">
        <v>7</v>
      </c>
      <c r="E4" s="46">
        <v>65</v>
      </c>
      <c r="F4" s="219">
        <v>189188</v>
      </c>
      <c r="G4" s="219">
        <v>21007</v>
      </c>
      <c r="H4" s="219">
        <v>3116</v>
      </c>
      <c r="I4" s="46">
        <v>17.8</v>
      </c>
      <c r="J4" s="46">
        <v>30291.190000000002</v>
      </c>
      <c r="K4" s="46">
        <v>21906.2</v>
      </c>
      <c r="L4" s="48" t="s">
        <v>173</v>
      </c>
      <c r="N4" s="35">
        <f t="shared" si="0"/>
        <v>9.0059503974865525</v>
      </c>
    </row>
    <row r="5" spans="1:14" x14ac:dyDescent="0.25">
      <c r="A5" s="46">
        <v>4</v>
      </c>
      <c r="B5" s="47" t="s">
        <v>170</v>
      </c>
      <c r="C5" s="48" t="s">
        <v>571</v>
      </c>
      <c r="D5" s="46">
        <v>5</v>
      </c>
      <c r="E5" s="46">
        <v>31</v>
      </c>
      <c r="F5" s="219">
        <v>34144</v>
      </c>
      <c r="G5" s="219">
        <v>4466</v>
      </c>
      <c r="H5" s="219">
        <v>579</v>
      </c>
      <c r="I5" s="46">
        <v>18.8</v>
      </c>
      <c r="J5" s="46">
        <v>14282</v>
      </c>
      <c r="K5" s="46">
        <v>3628</v>
      </c>
      <c r="L5" s="48" t="s">
        <v>174</v>
      </c>
      <c r="N5" s="35">
        <f t="shared" si="0"/>
        <v>7.6453201970443354</v>
      </c>
    </row>
    <row r="6" spans="1:14" x14ac:dyDescent="0.25">
      <c r="A6" s="46">
        <v>5</v>
      </c>
      <c r="B6" s="47" t="s">
        <v>170</v>
      </c>
      <c r="C6" s="48" t="s">
        <v>225</v>
      </c>
      <c r="D6" s="46">
        <v>10</v>
      </c>
      <c r="E6" s="46">
        <v>79</v>
      </c>
      <c r="F6" s="219">
        <v>178862</v>
      </c>
      <c r="G6" s="219">
        <v>23373</v>
      </c>
      <c r="H6" s="219">
        <v>1403</v>
      </c>
      <c r="I6" s="46">
        <v>16.8</v>
      </c>
      <c r="J6" s="46">
        <v>28616.400000000001</v>
      </c>
      <c r="K6" s="46">
        <v>22390.719999999998</v>
      </c>
      <c r="L6" s="48" t="s">
        <v>175</v>
      </c>
      <c r="N6" s="35">
        <f t="shared" si="0"/>
        <v>7.6525050271681003</v>
      </c>
    </row>
    <row r="7" spans="1:14" x14ac:dyDescent="0.25">
      <c r="A7" s="46">
        <v>6</v>
      </c>
      <c r="B7" s="47" t="s">
        <v>170</v>
      </c>
      <c r="C7" s="48" t="s">
        <v>224</v>
      </c>
      <c r="D7" s="46">
        <v>8</v>
      </c>
      <c r="E7" s="46">
        <v>76</v>
      </c>
      <c r="F7" s="219">
        <v>137301</v>
      </c>
      <c r="G7" s="219">
        <v>21008</v>
      </c>
      <c r="H7" s="219">
        <v>2152</v>
      </c>
      <c r="I7" s="46">
        <v>12.4</v>
      </c>
      <c r="J7" s="46">
        <v>42208.66</v>
      </c>
      <c r="K7" s="46">
        <v>20834.47</v>
      </c>
      <c r="L7" s="48" t="s">
        <v>176</v>
      </c>
      <c r="N7" s="35">
        <f t="shared" si="0"/>
        <v>6.5356530845392236</v>
      </c>
    </row>
    <row r="8" spans="1:14" x14ac:dyDescent="0.25">
      <c r="A8" s="46">
        <v>7</v>
      </c>
      <c r="B8" s="47" t="s">
        <v>170</v>
      </c>
      <c r="C8" s="48" t="s">
        <v>219</v>
      </c>
      <c r="D8" s="46">
        <v>7</v>
      </c>
      <c r="E8" s="46">
        <v>58</v>
      </c>
      <c r="F8" s="219">
        <v>129414</v>
      </c>
      <c r="G8" s="219">
        <v>16707</v>
      </c>
      <c r="H8" s="219">
        <v>3250</v>
      </c>
      <c r="I8" s="46">
        <v>19.7</v>
      </c>
      <c r="J8" s="46">
        <v>26334</v>
      </c>
      <c r="K8" s="46">
        <v>13404.06</v>
      </c>
      <c r="L8" s="48" t="s">
        <v>175</v>
      </c>
      <c r="N8" s="35">
        <f t="shared" si="0"/>
        <v>7.7460944514275454</v>
      </c>
    </row>
    <row r="9" spans="1:14" x14ac:dyDescent="0.25">
      <c r="A9" s="46">
        <v>8</v>
      </c>
      <c r="B9" s="47" t="s">
        <v>170</v>
      </c>
      <c r="C9" s="48" t="s">
        <v>177</v>
      </c>
      <c r="D9" s="46">
        <v>5</v>
      </c>
      <c r="E9" s="46">
        <v>49</v>
      </c>
      <c r="F9" s="219">
        <v>49335</v>
      </c>
      <c r="G9" s="219">
        <v>6232</v>
      </c>
      <c r="H9" s="219">
        <v>436</v>
      </c>
      <c r="I9" s="46">
        <v>25.6</v>
      </c>
      <c r="J9" s="46">
        <v>20329</v>
      </c>
      <c r="K9" s="46">
        <v>7194.5</v>
      </c>
      <c r="L9" s="48" t="s">
        <v>178</v>
      </c>
      <c r="N9" s="35">
        <f t="shared" si="0"/>
        <v>7.9163992297817716</v>
      </c>
    </row>
    <row r="10" spans="1:14" x14ac:dyDescent="0.25">
      <c r="A10" s="46">
        <v>9</v>
      </c>
      <c r="B10" s="47" t="s">
        <v>170</v>
      </c>
      <c r="C10" s="48" t="s">
        <v>220</v>
      </c>
      <c r="D10" s="46">
        <v>6</v>
      </c>
      <c r="E10" s="46">
        <v>45</v>
      </c>
      <c r="F10" s="219">
        <v>54658</v>
      </c>
      <c r="G10" s="219">
        <v>8333</v>
      </c>
      <c r="H10" s="219">
        <v>671</v>
      </c>
      <c r="I10" s="46">
        <v>18.600000000000001</v>
      </c>
      <c r="J10" s="46">
        <v>12582</v>
      </c>
      <c r="K10" s="46">
        <v>6666</v>
      </c>
      <c r="L10" s="48" t="s">
        <v>179</v>
      </c>
      <c r="N10" s="35">
        <f t="shared" si="0"/>
        <v>6.5592223688947557</v>
      </c>
    </row>
    <row r="11" spans="1:14" x14ac:dyDescent="0.25">
      <c r="A11" s="46">
        <v>11</v>
      </c>
      <c r="B11" s="47" t="s">
        <v>170</v>
      </c>
      <c r="C11" s="48" t="s">
        <v>572</v>
      </c>
      <c r="D11" s="46">
        <v>7</v>
      </c>
      <c r="E11" s="46">
        <v>45</v>
      </c>
      <c r="F11" s="219">
        <v>165241</v>
      </c>
      <c r="G11" s="219">
        <v>30996</v>
      </c>
      <c r="H11" s="219">
        <v>949</v>
      </c>
      <c r="I11" s="46">
        <v>16.899999999999999</v>
      </c>
      <c r="J11" s="46">
        <v>23431.199999999997</v>
      </c>
      <c r="K11" s="46">
        <v>12271.1</v>
      </c>
      <c r="L11" s="48" t="s">
        <v>180</v>
      </c>
      <c r="N11" s="35">
        <f t="shared" si="0"/>
        <v>5.3310427151890565</v>
      </c>
    </row>
    <row r="12" spans="1:14" x14ac:dyDescent="0.25">
      <c r="A12" s="46">
        <v>12</v>
      </c>
      <c r="B12" s="47" t="s">
        <v>170</v>
      </c>
      <c r="C12" s="48" t="s">
        <v>298</v>
      </c>
      <c r="D12" s="46">
        <v>5</v>
      </c>
      <c r="E12" s="46">
        <v>40</v>
      </c>
      <c r="F12" s="219">
        <v>115066</v>
      </c>
      <c r="G12" s="219">
        <v>16878</v>
      </c>
      <c r="H12" s="219">
        <v>1984</v>
      </c>
      <c r="I12" s="46">
        <v>11.8</v>
      </c>
      <c r="J12" s="46">
        <v>54169</v>
      </c>
      <c r="K12" s="46">
        <v>9045</v>
      </c>
      <c r="L12" s="48" t="s">
        <v>180</v>
      </c>
      <c r="N12" s="35">
        <f t="shared" si="0"/>
        <v>6.8175139234506457</v>
      </c>
    </row>
    <row r="13" spans="1:14" x14ac:dyDescent="0.25">
      <c r="A13" s="46">
        <v>13</v>
      </c>
      <c r="B13" s="47" t="s">
        <v>170</v>
      </c>
      <c r="C13" s="48" t="s">
        <v>573</v>
      </c>
      <c r="D13" s="46">
        <v>3</v>
      </c>
      <c r="E13" s="46">
        <v>27</v>
      </c>
      <c r="F13" s="219">
        <v>35714</v>
      </c>
      <c r="G13" s="219">
        <v>8711</v>
      </c>
      <c r="H13" s="219">
        <v>8711</v>
      </c>
      <c r="I13" s="46">
        <v>3.3</v>
      </c>
      <c r="J13" s="46">
        <v>0</v>
      </c>
      <c r="K13" s="46">
        <v>36054.15</v>
      </c>
      <c r="L13" s="48" t="s">
        <v>180</v>
      </c>
      <c r="N13" s="35">
        <f t="shared" si="0"/>
        <v>4.099873722879118</v>
      </c>
    </row>
    <row r="14" spans="1:14" x14ac:dyDescent="0.25">
      <c r="A14" s="46">
        <v>16</v>
      </c>
      <c r="B14" s="47" t="s">
        <v>181</v>
      </c>
      <c r="C14" s="48" t="s">
        <v>574</v>
      </c>
      <c r="D14" s="46">
        <v>7</v>
      </c>
      <c r="E14" s="46">
        <v>60</v>
      </c>
      <c r="F14" s="219">
        <v>82669</v>
      </c>
      <c r="G14" s="219">
        <v>18283</v>
      </c>
      <c r="H14" s="219">
        <v>1816</v>
      </c>
      <c r="I14" s="46">
        <v>22</v>
      </c>
      <c r="J14" s="46">
        <v>46798.409999999996</v>
      </c>
      <c r="K14" s="46">
        <v>2313.4499999999998</v>
      </c>
      <c r="L14" s="48" t="s">
        <v>179</v>
      </c>
      <c r="N14" s="35">
        <f t="shared" si="0"/>
        <v>4.5216321172674068</v>
      </c>
    </row>
    <row r="15" spans="1:14" x14ac:dyDescent="0.25">
      <c r="A15" s="46">
        <v>17</v>
      </c>
      <c r="B15" s="47" t="s">
        <v>181</v>
      </c>
      <c r="C15" s="48" t="s">
        <v>575</v>
      </c>
      <c r="D15" s="46">
        <v>2</v>
      </c>
      <c r="E15" s="46">
        <v>22</v>
      </c>
      <c r="F15" s="219">
        <v>15289</v>
      </c>
      <c r="G15" s="219">
        <v>2517</v>
      </c>
      <c r="H15" s="219">
        <v>267</v>
      </c>
      <c r="I15" s="46">
        <v>34</v>
      </c>
      <c r="J15" s="46">
        <v>1905</v>
      </c>
      <c r="K15" s="46">
        <v>1790</v>
      </c>
      <c r="L15" s="48" t="s">
        <v>179</v>
      </c>
      <c r="N15" s="35">
        <f t="shared" si="0"/>
        <v>6.0742947953913387</v>
      </c>
    </row>
    <row r="16" spans="1:14" x14ac:dyDescent="0.25">
      <c r="A16" s="46">
        <v>18</v>
      </c>
      <c r="B16" s="47" t="s">
        <v>181</v>
      </c>
      <c r="C16" s="48" t="s">
        <v>182</v>
      </c>
      <c r="D16" s="46">
        <v>9</v>
      </c>
      <c r="E16" s="50">
        <v>75</v>
      </c>
      <c r="F16" s="219">
        <v>155242</v>
      </c>
      <c r="G16" s="219">
        <v>28214</v>
      </c>
      <c r="H16" s="219">
        <v>2471</v>
      </c>
      <c r="I16" s="46">
        <v>2.4700000000000002</v>
      </c>
      <c r="J16" s="46">
        <v>24675.182000000001</v>
      </c>
      <c r="K16" s="46">
        <v>8891.26</v>
      </c>
      <c r="L16" s="48"/>
      <c r="N16" s="35">
        <f t="shared" si="0"/>
        <v>5.5023038207981854</v>
      </c>
    </row>
    <row r="17" spans="1:14" x14ac:dyDescent="0.25">
      <c r="A17" s="46">
        <v>10</v>
      </c>
      <c r="B17" s="47" t="s">
        <v>170</v>
      </c>
      <c r="C17" s="48" t="s">
        <v>294</v>
      </c>
      <c r="D17" s="46">
        <v>5</v>
      </c>
      <c r="E17" s="46">
        <v>54</v>
      </c>
      <c r="F17" s="219">
        <v>105752</v>
      </c>
      <c r="G17" s="219">
        <v>18314</v>
      </c>
      <c r="H17" s="219">
        <v>1689</v>
      </c>
      <c r="I17" s="46">
        <v>16.399999999999999</v>
      </c>
      <c r="J17" s="46">
        <v>32297</v>
      </c>
      <c r="K17" s="46">
        <v>13104</v>
      </c>
      <c r="L17" s="48" t="s">
        <v>179</v>
      </c>
      <c r="N17" s="35">
        <f t="shared" si="0"/>
        <v>5.7743802555422086</v>
      </c>
    </row>
    <row r="18" spans="1:14" x14ac:dyDescent="0.25">
      <c r="A18" s="46">
        <v>14</v>
      </c>
      <c r="B18" s="47" t="s">
        <v>170</v>
      </c>
      <c r="C18" s="48" t="s">
        <v>183</v>
      </c>
      <c r="D18" s="46">
        <v>8</v>
      </c>
      <c r="E18" s="46">
        <v>87</v>
      </c>
      <c r="F18" s="219">
        <v>22119</v>
      </c>
      <c r="G18" s="219">
        <v>2321</v>
      </c>
      <c r="H18" s="219">
        <v>122</v>
      </c>
      <c r="I18" s="46">
        <v>18.7</v>
      </c>
      <c r="J18" s="46">
        <v>24486</v>
      </c>
      <c r="K18" s="46">
        <v>9196.5</v>
      </c>
      <c r="L18" s="48"/>
      <c r="N18" s="35">
        <f t="shared" si="0"/>
        <v>9.5299439896596301</v>
      </c>
    </row>
    <row r="19" spans="1:14" x14ac:dyDescent="0.25">
      <c r="A19" s="46">
        <v>15</v>
      </c>
      <c r="B19" s="47" t="s">
        <v>170</v>
      </c>
      <c r="C19" s="48" t="s">
        <v>184</v>
      </c>
      <c r="D19" s="46">
        <v>7</v>
      </c>
      <c r="E19" s="46">
        <v>72</v>
      </c>
      <c r="F19" s="219">
        <v>164405</v>
      </c>
      <c r="G19" s="219">
        <v>24421</v>
      </c>
      <c r="H19" s="219">
        <v>0</v>
      </c>
      <c r="I19" s="46">
        <v>13.6</v>
      </c>
      <c r="J19" s="46">
        <v>0</v>
      </c>
      <c r="K19" s="46">
        <v>0</v>
      </c>
      <c r="L19" s="48"/>
      <c r="N19" s="35">
        <f t="shared" si="0"/>
        <v>6.7321158019737108</v>
      </c>
    </row>
    <row r="20" spans="1:14" x14ac:dyDescent="0.25">
      <c r="A20" s="302" t="s">
        <v>24</v>
      </c>
      <c r="B20" s="302"/>
      <c r="C20" s="302"/>
      <c r="D20" s="50">
        <f t="shared" ref="D20:K20" si="1">SUM(D2:D16)</f>
        <v>92</v>
      </c>
      <c r="E20" s="50">
        <f t="shared" si="1"/>
        <v>782</v>
      </c>
      <c r="F20" s="55">
        <f t="shared" si="1"/>
        <v>1504690</v>
      </c>
      <c r="G20" s="55">
        <f t="shared" si="1"/>
        <v>227485</v>
      </c>
      <c r="H20" s="55">
        <f t="shared" si="1"/>
        <v>29931</v>
      </c>
      <c r="I20" s="50">
        <f t="shared" si="1"/>
        <v>254.87000000000003</v>
      </c>
      <c r="J20" s="50">
        <f t="shared" si="1"/>
        <v>365575.33199999994</v>
      </c>
      <c r="K20" s="50">
        <f t="shared" si="1"/>
        <v>183515.71000000002</v>
      </c>
      <c r="L20" s="51"/>
      <c r="N20" s="35">
        <f t="shared" si="0"/>
        <v>6.6144580961382067</v>
      </c>
    </row>
    <row r="21" spans="1:14" x14ac:dyDescent="0.25">
      <c r="A21" s="12"/>
      <c r="B21" s="12"/>
    </row>
    <row r="22" spans="1:14" x14ac:dyDescent="0.25">
      <c r="C22" t="s">
        <v>185</v>
      </c>
      <c r="E22" s="33">
        <f>E20/15</f>
        <v>52.133333333333333</v>
      </c>
      <c r="F22" s="33">
        <f>F20/E20</f>
        <v>1924.1560102301789</v>
      </c>
      <c r="G22" s="33">
        <f>G20/E20</f>
        <v>290.90153452685422</v>
      </c>
      <c r="H22" s="33">
        <f>H20/E20</f>
        <v>38.274936061381077</v>
      </c>
    </row>
    <row r="23" spans="1:14" x14ac:dyDescent="0.25">
      <c r="B23" t="s">
        <v>186</v>
      </c>
      <c r="E23" s="4">
        <f>E22*21</f>
        <v>1094.8</v>
      </c>
      <c r="F23" s="4">
        <f>E23*F22</f>
        <v>2106566</v>
      </c>
      <c r="G23" s="4">
        <f>G22*E23</f>
        <v>318479</v>
      </c>
      <c r="H23" s="4">
        <f>H22*E23</f>
        <v>41903.4</v>
      </c>
      <c r="J23" t="s">
        <v>493</v>
      </c>
      <c r="K23" s="4">
        <f>K20/E20</f>
        <v>234.67482097186704</v>
      </c>
    </row>
    <row r="24" spans="1:14" x14ac:dyDescent="0.25">
      <c r="B24" t="s">
        <v>122</v>
      </c>
    </row>
    <row r="25" spans="1:14" x14ac:dyDescent="0.25">
      <c r="C25" t="s">
        <v>187</v>
      </c>
      <c r="E25">
        <v>400</v>
      </c>
      <c r="F25" s="4">
        <f>E25*F22</f>
        <v>769662.40409207158</v>
      </c>
      <c r="G25" s="4">
        <f>G22*E25</f>
        <v>116360.61381074169</v>
      </c>
      <c r="H25" s="4">
        <f>H22*E25</f>
        <v>15309.974424552431</v>
      </c>
    </row>
    <row r="27" spans="1:14" x14ac:dyDescent="0.25">
      <c r="C27" t="s">
        <v>452</v>
      </c>
      <c r="D27" t="s">
        <v>453</v>
      </c>
      <c r="E27">
        <v>1523</v>
      </c>
    </row>
    <row r="30" spans="1:14" x14ac:dyDescent="0.25">
      <c r="A30" s="43"/>
      <c r="B30" s="43"/>
      <c r="C30" s="43"/>
      <c r="D30" s="43"/>
      <c r="E30" s="43"/>
      <c r="F30" s="43"/>
      <c r="G30" s="43"/>
      <c r="H30" s="43"/>
      <c r="I30" s="43"/>
      <c r="J30" s="44"/>
      <c r="K30" s="44"/>
      <c r="L30" s="45"/>
    </row>
    <row r="31" spans="1:14" x14ac:dyDescent="0.25">
      <c r="A31" s="46"/>
      <c r="B31" s="47"/>
      <c r="C31" s="48"/>
      <c r="D31" s="46"/>
      <c r="E31" s="46"/>
      <c r="F31" s="46"/>
      <c r="G31" s="46"/>
      <c r="H31" s="46"/>
      <c r="I31" s="49"/>
      <c r="J31" s="46"/>
      <c r="K31" s="46"/>
      <c r="L31" s="48"/>
    </row>
    <row r="32" spans="1:14" x14ac:dyDescent="0.25">
      <c r="A32" s="46"/>
      <c r="B32" s="47"/>
      <c r="C32" s="48"/>
      <c r="D32" s="46"/>
      <c r="E32" s="46"/>
      <c r="F32" s="46"/>
      <c r="G32" s="46"/>
      <c r="H32" s="46"/>
      <c r="I32" s="46"/>
      <c r="J32" s="46"/>
      <c r="K32" s="46"/>
      <c r="L32" s="48"/>
    </row>
    <row r="33" spans="1:12" x14ac:dyDescent="0.25">
      <c r="A33" s="46"/>
      <c r="B33" s="47"/>
      <c r="C33" s="48"/>
      <c r="D33" s="46"/>
      <c r="E33" s="46"/>
      <c r="F33" s="46"/>
      <c r="G33" s="46"/>
      <c r="H33" s="46"/>
      <c r="I33" s="46"/>
      <c r="J33" s="46"/>
      <c r="K33" s="46"/>
      <c r="L33" s="48"/>
    </row>
    <row r="34" spans="1:12" x14ac:dyDescent="0.25">
      <c r="A34" s="46"/>
      <c r="B34" s="47"/>
      <c r="C34" s="48"/>
      <c r="D34" s="46"/>
      <c r="E34" s="46"/>
      <c r="F34" s="46"/>
      <c r="G34" s="46"/>
      <c r="H34" s="46"/>
      <c r="I34" s="46"/>
      <c r="J34" s="46"/>
      <c r="K34" s="46"/>
      <c r="L34" s="48"/>
    </row>
    <row r="35" spans="1:12" x14ac:dyDescent="0.25">
      <c r="A35" s="46"/>
      <c r="B35" s="47"/>
      <c r="C35" s="48"/>
      <c r="D35" s="46"/>
      <c r="E35" s="46"/>
      <c r="F35" s="46"/>
      <c r="G35" s="46"/>
      <c r="H35" s="46"/>
      <c r="I35" s="46"/>
      <c r="J35" s="46"/>
      <c r="K35" s="46"/>
      <c r="L35" s="48"/>
    </row>
    <row r="36" spans="1:12" x14ac:dyDescent="0.25">
      <c r="A36" s="46"/>
      <c r="B36" s="47"/>
      <c r="C36" s="48"/>
      <c r="D36" s="46"/>
      <c r="E36" s="46"/>
      <c r="F36" s="46"/>
      <c r="G36" s="46"/>
      <c r="H36" s="46"/>
      <c r="I36" s="46"/>
      <c r="J36" s="46"/>
      <c r="K36" s="46"/>
      <c r="L36" s="48"/>
    </row>
    <row r="37" spans="1:12" x14ac:dyDescent="0.25">
      <c r="A37" s="46"/>
      <c r="B37" s="47"/>
      <c r="C37" s="48"/>
      <c r="D37" s="46"/>
      <c r="E37" s="46"/>
      <c r="F37" s="46"/>
      <c r="G37" s="46"/>
      <c r="H37" s="46"/>
      <c r="I37" s="46"/>
      <c r="J37" s="46"/>
      <c r="K37" s="46"/>
      <c r="L37" s="48"/>
    </row>
    <row r="38" spans="1:12" x14ac:dyDescent="0.25">
      <c r="A38" s="46"/>
      <c r="B38" s="47"/>
      <c r="C38" s="48"/>
      <c r="D38" s="46"/>
      <c r="E38" s="46"/>
      <c r="F38" s="46"/>
      <c r="G38" s="46"/>
      <c r="H38" s="46"/>
      <c r="I38" s="46"/>
      <c r="J38" s="46"/>
      <c r="K38" s="46"/>
      <c r="L38" s="48"/>
    </row>
    <row r="39" spans="1:12" x14ac:dyDescent="0.25">
      <c r="A39" s="46"/>
      <c r="B39" s="47"/>
      <c r="C39" s="48"/>
      <c r="D39" s="46"/>
      <c r="E39" s="46"/>
      <c r="F39" s="46"/>
      <c r="G39" s="46"/>
      <c r="H39" s="46"/>
      <c r="I39" s="46"/>
      <c r="J39" s="46"/>
      <c r="K39" s="46"/>
      <c r="L39" s="48"/>
    </row>
    <row r="40" spans="1:12" x14ac:dyDescent="0.25">
      <c r="A40" s="46"/>
      <c r="B40" s="47"/>
      <c r="C40" s="48"/>
      <c r="D40" s="46"/>
      <c r="E40" s="46"/>
      <c r="F40" s="46"/>
      <c r="G40" s="46"/>
      <c r="H40" s="46"/>
      <c r="I40" s="46"/>
      <c r="J40" s="46"/>
      <c r="K40" s="46"/>
      <c r="L40" s="48"/>
    </row>
    <row r="41" spans="1:12" x14ac:dyDescent="0.25">
      <c r="A41" s="46"/>
      <c r="B41" s="47"/>
      <c r="C41" s="48"/>
      <c r="D41" s="46"/>
      <c r="E41" s="46"/>
      <c r="F41" s="46"/>
      <c r="G41" s="46"/>
      <c r="H41" s="46"/>
      <c r="I41" s="46"/>
      <c r="J41" s="46"/>
      <c r="K41" s="46"/>
      <c r="L41" s="48"/>
    </row>
    <row r="42" spans="1:12" x14ac:dyDescent="0.25">
      <c r="A42" s="46"/>
      <c r="B42" s="47"/>
      <c r="C42" s="48"/>
      <c r="D42" s="46"/>
      <c r="E42" s="46"/>
      <c r="F42" s="46"/>
      <c r="G42" s="46"/>
      <c r="H42" s="46"/>
      <c r="I42" s="46"/>
      <c r="J42" s="46"/>
      <c r="K42" s="46"/>
      <c r="L42" s="48"/>
    </row>
    <row r="43" spans="1:12" x14ac:dyDescent="0.25">
      <c r="A43" s="46"/>
      <c r="B43" s="47"/>
      <c r="C43" s="48"/>
      <c r="D43" s="46"/>
      <c r="E43" s="46"/>
      <c r="F43" s="46"/>
      <c r="G43" s="46"/>
      <c r="H43" s="46"/>
      <c r="I43" s="46"/>
      <c r="J43" s="46"/>
      <c r="K43" s="46"/>
      <c r="L43" s="48"/>
    </row>
    <row r="44" spans="1:12" x14ac:dyDescent="0.25">
      <c r="A44" s="46"/>
      <c r="B44" s="47"/>
      <c r="C44" s="48"/>
      <c r="D44" s="46"/>
      <c r="E44" s="46"/>
      <c r="F44" s="46"/>
      <c r="G44" s="46"/>
      <c r="H44" s="46"/>
      <c r="I44" s="46"/>
      <c r="J44" s="46"/>
      <c r="K44" s="46"/>
      <c r="L44" s="48"/>
    </row>
    <row r="45" spans="1:12" x14ac:dyDescent="0.25">
      <c r="A45" s="46"/>
      <c r="B45" s="47"/>
      <c r="C45" s="48"/>
      <c r="D45" s="46"/>
      <c r="E45" s="46"/>
      <c r="F45" s="46"/>
      <c r="G45" s="46"/>
      <c r="H45" s="46"/>
      <c r="I45" s="46"/>
      <c r="J45" s="46"/>
      <c r="K45" s="46"/>
      <c r="L45" s="48"/>
    </row>
    <row r="46" spans="1:12" x14ac:dyDescent="0.25">
      <c r="A46" s="46"/>
      <c r="B46" s="47"/>
      <c r="C46" s="48"/>
      <c r="D46" s="46"/>
      <c r="E46" s="46"/>
      <c r="F46" s="46"/>
      <c r="G46" s="46"/>
      <c r="H46" s="46"/>
      <c r="I46" s="46"/>
      <c r="J46" s="46"/>
      <c r="K46" s="46"/>
      <c r="L46" s="48"/>
    </row>
    <row r="47" spans="1:12" x14ac:dyDescent="0.25">
      <c r="A47" s="46"/>
      <c r="B47" s="47"/>
      <c r="C47" s="48"/>
      <c r="D47" s="46"/>
      <c r="E47" s="46"/>
      <c r="F47" s="46"/>
      <c r="G47" s="46"/>
      <c r="H47" s="46"/>
      <c r="I47" s="184"/>
      <c r="J47" s="46"/>
      <c r="K47" s="46"/>
      <c r="L47" s="48"/>
    </row>
    <row r="48" spans="1:12" x14ac:dyDescent="0.25">
      <c r="A48" s="46"/>
      <c r="B48" s="47"/>
      <c r="C48" s="48"/>
      <c r="D48" s="46"/>
      <c r="E48" s="46"/>
      <c r="F48" s="46"/>
      <c r="G48" s="46"/>
      <c r="H48" s="46"/>
      <c r="I48" s="46"/>
      <c r="J48" s="46"/>
      <c r="K48" s="46"/>
      <c r="L48" s="48"/>
    </row>
    <row r="49" spans="1:12" x14ac:dyDescent="0.25">
      <c r="A49" s="46"/>
      <c r="B49" s="47"/>
      <c r="C49" s="48"/>
      <c r="D49" s="46"/>
      <c r="E49" s="46"/>
      <c r="F49" s="46"/>
      <c r="G49" s="46"/>
      <c r="H49" s="46"/>
      <c r="I49" s="46"/>
      <c r="J49" s="46"/>
      <c r="K49" s="46"/>
      <c r="L49" s="48"/>
    </row>
    <row r="50" spans="1:12" x14ac:dyDescent="0.25">
      <c r="A50" s="46"/>
      <c r="B50" s="47"/>
      <c r="C50" s="48"/>
      <c r="D50" s="185"/>
      <c r="E50" s="46"/>
      <c r="F50" s="46"/>
      <c r="G50" s="46"/>
      <c r="H50" s="46"/>
      <c r="I50" s="46"/>
      <c r="J50" s="46"/>
      <c r="K50" s="46"/>
      <c r="L50" s="48"/>
    </row>
    <row r="51" spans="1:12" x14ac:dyDescent="0.25">
      <c r="A51" s="46"/>
      <c r="B51" s="47"/>
      <c r="C51" s="48"/>
      <c r="D51" s="46"/>
      <c r="E51" s="46"/>
      <c r="F51" s="46"/>
      <c r="G51" s="46"/>
      <c r="H51" s="46"/>
      <c r="I51" s="46"/>
      <c r="J51" s="46"/>
      <c r="K51" s="46"/>
      <c r="L51" s="48"/>
    </row>
    <row r="52" spans="1:12" x14ac:dyDescent="0.25">
      <c r="A52" s="303"/>
      <c r="B52" s="303"/>
      <c r="C52" s="303"/>
      <c r="D52" s="186"/>
      <c r="E52" s="186"/>
      <c r="F52" s="186"/>
      <c r="G52" s="186"/>
      <c r="H52" s="186"/>
      <c r="I52" s="187"/>
      <c r="J52" s="186"/>
      <c r="K52" s="186"/>
      <c r="L52" s="188"/>
    </row>
  </sheetData>
  <mergeCells count="2">
    <mergeCell ref="A20:C20"/>
    <mergeCell ref="A52:C5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A31AB-22E4-8F4E-AA3C-822DC2AD9F84}">
  <dimension ref="A1:L37"/>
  <sheetViews>
    <sheetView zoomScale="85" zoomScaleNormal="85" workbookViewId="0">
      <selection activeCell="E10" sqref="E10"/>
    </sheetView>
  </sheetViews>
  <sheetFormatPr defaultColWidth="11" defaultRowHeight="15.75" x14ac:dyDescent="0.25"/>
  <cols>
    <col min="7" max="7" width="13" bestFit="1" customWidth="1"/>
  </cols>
  <sheetData>
    <row r="1" spans="1:12" ht="25.5" x14ac:dyDescent="0.25">
      <c r="A1" s="43" t="s">
        <v>160</v>
      </c>
      <c r="B1" s="43" t="s">
        <v>161</v>
      </c>
      <c r="C1" s="43" t="s">
        <v>162</v>
      </c>
      <c r="D1" s="43" t="s">
        <v>163</v>
      </c>
      <c r="E1" s="43" t="s">
        <v>164</v>
      </c>
      <c r="F1" s="43" t="s">
        <v>122</v>
      </c>
      <c r="G1" s="43" t="s">
        <v>26</v>
      </c>
      <c r="H1" s="43" t="s">
        <v>165</v>
      </c>
      <c r="I1" s="43" t="s">
        <v>166</v>
      </c>
      <c r="J1" s="44" t="s">
        <v>167</v>
      </c>
      <c r="K1" s="44" t="s">
        <v>168</v>
      </c>
      <c r="L1" s="45" t="s">
        <v>169</v>
      </c>
    </row>
    <row r="2" spans="1:12" x14ac:dyDescent="0.25">
      <c r="A2" s="46">
        <v>1</v>
      </c>
      <c r="B2" s="47" t="s">
        <v>170</v>
      </c>
      <c r="C2" s="48" t="s">
        <v>570</v>
      </c>
      <c r="D2" s="46">
        <v>4</v>
      </c>
      <c r="E2" s="46">
        <v>57</v>
      </c>
      <c r="F2" s="46">
        <v>116461</v>
      </c>
      <c r="G2" s="46">
        <v>14476</v>
      </c>
      <c r="H2" s="46">
        <v>1738</v>
      </c>
      <c r="I2" s="49">
        <v>18.8</v>
      </c>
      <c r="J2" s="46">
        <v>9376.7999999999993</v>
      </c>
      <c r="K2" s="46">
        <v>7802.88</v>
      </c>
      <c r="L2" s="48" t="s">
        <v>171</v>
      </c>
    </row>
    <row r="3" spans="1:12" x14ac:dyDescent="0.25">
      <c r="A3" s="46">
        <v>2</v>
      </c>
      <c r="B3" s="47" t="s">
        <v>170</v>
      </c>
      <c r="C3" s="48" t="s">
        <v>226</v>
      </c>
      <c r="D3" s="46">
        <v>7</v>
      </c>
      <c r="E3" s="46">
        <v>53</v>
      </c>
      <c r="F3" s="46">
        <v>46106</v>
      </c>
      <c r="G3" s="46">
        <v>6284</v>
      </c>
      <c r="H3" s="46">
        <v>388</v>
      </c>
      <c r="I3" s="46">
        <v>15.9</v>
      </c>
      <c r="J3" s="46">
        <v>30576.489999999998</v>
      </c>
      <c r="K3" s="46">
        <v>9323.92</v>
      </c>
      <c r="L3" s="48" t="s">
        <v>172</v>
      </c>
    </row>
    <row r="4" spans="1:12" x14ac:dyDescent="0.25">
      <c r="A4" s="46">
        <v>3</v>
      </c>
      <c r="B4" s="47" t="s">
        <v>170</v>
      </c>
      <c r="C4" s="48" t="s">
        <v>222</v>
      </c>
      <c r="D4" s="46">
        <v>7</v>
      </c>
      <c r="E4" s="46">
        <v>65</v>
      </c>
      <c r="F4" s="46">
        <v>189188</v>
      </c>
      <c r="G4" s="46">
        <v>21007</v>
      </c>
      <c r="H4" s="46">
        <v>3116</v>
      </c>
      <c r="I4" s="46">
        <v>17.8</v>
      </c>
      <c r="J4" s="46">
        <v>30291.190000000002</v>
      </c>
      <c r="K4" s="46">
        <v>21906.2</v>
      </c>
      <c r="L4" s="48" t="s">
        <v>173</v>
      </c>
    </row>
    <row r="5" spans="1:12" x14ac:dyDescent="0.25">
      <c r="A5" s="46">
        <v>4</v>
      </c>
      <c r="B5" s="47" t="s">
        <v>170</v>
      </c>
      <c r="C5" s="48" t="s">
        <v>571</v>
      </c>
      <c r="D5" s="46">
        <v>5</v>
      </c>
      <c r="E5" s="46">
        <v>31</v>
      </c>
      <c r="F5" s="46">
        <v>34144</v>
      </c>
      <c r="G5" s="46">
        <v>4466</v>
      </c>
      <c r="H5" s="46">
        <v>579</v>
      </c>
      <c r="I5" s="46">
        <v>18.8</v>
      </c>
      <c r="J5" s="46">
        <v>14282</v>
      </c>
      <c r="K5" s="46">
        <v>3628</v>
      </c>
      <c r="L5" s="48" t="s">
        <v>174</v>
      </c>
    </row>
    <row r="6" spans="1:12" x14ac:dyDescent="0.25">
      <c r="A6" s="46">
        <v>5</v>
      </c>
      <c r="B6" s="47" t="s">
        <v>170</v>
      </c>
      <c r="C6" s="48" t="s">
        <v>225</v>
      </c>
      <c r="D6" s="46">
        <v>10</v>
      </c>
      <c r="E6" s="46">
        <v>80</v>
      </c>
      <c r="F6" s="46">
        <v>179604</v>
      </c>
      <c r="G6" s="46">
        <v>23471</v>
      </c>
      <c r="H6" s="46">
        <v>1403</v>
      </c>
      <c r="I6" s="46">
        <v>16.8</v>
      </c>
      <c r="J6" s="46">
        <v>29816.400000000001</v>
      </c>
      <c r="K6" s="46">
        <v>22690.719999999998</v>
      </c>
      <c r="L6" s="48" t="s">
        <v>175</v>
      </c>
    </row>
    <row r="7" spans="1:12" x14ac:dyDescent="0.25">
      <c r="A7" s="46">
        <v>6</v>
      </c>
      <c r="B7" s="47" t="s">
        <v>170</v>
      </c>
      <c r="C7" s="48" t="s">
        <v>224</v>
      </c>
      <c r="D7" s="46">
        <v>8</v>
      </c>
      <c r="E7" s="46">
        <v>81</v>
      </c>
      <c r="F7" s="46">
        <v>149944</v>
      </c>
      <c r="G7" s="46">
        <v>23017</v>
      </c>
      <c r="H7" s="46">
        <v>2302</v>
      </c>
      <c r="I7" s="46">
        <v>12.4</v>
      </c>
      <c r="J7" s="46">
        <v>42765.66</v>
      </c>
      <c r="K7" s="46">
        <v>21837.47</v>
      </c>
      <c r="L7" s="48" t="s">
        <v>176</v>
      </c>
    </row>
    <row r="8" spans="1:12" x14ac:dyDescent="0.25">
      <c r="A8" s="46">
        <v>7</v>
      </c>
      <c r="B8" s="47" t="s">
        <v>170</v>
      </c>
      <c r="C8" s="48" t="s">
        <v>219</v>
      </c>
      <c r="D8" s="46">
        <v>7</v>
      </c>
      <c r="E8" s="46">
        <v>58</v>
      </c>
      <c r="F8" s="46">
        <v>129414</v>
      </c>
      <c r="G8" s="46">
        <v>16707</v>
      </c>
      <c r="H8" s="46">
        <v>26334</v>
      </c>
      <c r="I8" s="46">
        <v>19.7</v>
      </c>
      <c r="J8" s="46">
        <v>26334</v>
      </c>
      <c r="K8" s="46">
        <v>13404.06</v>
      </c>
      <c r="L8" s="48" t="s">
        <v>175</v>
      </c>
    </row>
    <row r="9" spans="1:12" x14ac:dyDescent="0.25">
      <c r="A9" s="46">
        <v>8</v>
      </c>
      <c r="B9" s="47" t="s">
        <v>170</v>
      </c>
      <c r="C9" s="48" t="s">
        <v>177</v>
      </c>
      <c r="D9" s="46">
        <v>5</v>
      </c>
      <c r="E9" s="46">
        <v>49</v>
      </c>
      <c r="F9" s="46">
        <v>49335</v>
      </c>
      <c r="G9" s="46">
        <v>6232</v>
      </c>
      <c r="H9" s="46">
        <v>436</v>
      </c>
      <c r="I9" s="46">
        <v>25.6</v>
      </c>
      <c r="J9" s="46">
        <v>20329</v>
      </c>
      <c r="K9" s="46">
        <v>7194.5</v>
      </c>
      <c r="L9" s="48" t="s">
        <v>178</v>
      </c>
    </row>
    <row r="10" spans="1:12" x14ac:dyDescent="0.25">
      <c r="A10" s="46">
        <v>9</v>
      </c>
      <c r="B10" s="47" t="s">
        <v>170</v>
      </c>
      <c r="C10" s="48" t="s">
        <v>220</v>
      </c>
      <c r="D10" s="46">
        <v>6</v>
      </c>
      <c r="E10" s="46">
        <v>45</v>
      </c>
      <c r="F10" s="46">
        <v>54658</v>
      </c>
      <c r="G10" s="46">
        <v>8333</v>
      </c>
      <c r="H10" s="46">
        <v>671</v>
      </c>
      <c r="I10" s="46">
        <v>18.600000000000001</v>
      </c>
      <c r="J10" s="46">
        <v>12582</v>
      </c>
      <c r="K10" s="46">
        <v>6666</v>
      </c>
      <c r="L10" s="48" t="s">
        <v>179</v>
      </c>
    </row>
    <row r="11" spans="1:12" x14ac:dyDescent="0.25">
      <c r="A11" s="46">
        <v>10</v>
      </c>
      <c r="B11" s="47" t="s">
        <v>170</v>
      </c>
      <c r="C11" s="48" t="s">
        <v>294</v>
      </c>
      <c r="D11" s="46">
        <v>5</v>
      </c>
      <c r="E11" s="46">
        <v>54</v>
      </c>
      <c r="F11" s="46">
        <v>105752</v>
      </c>
      <c r="G11" s="46">
        <v>18314</v>
      </c>
      <c r="H11" s="46">
        <v>1689</v>
      </c>
      <c r="I11" s="46">
        <v>16.399999999999999</v>
      </c>
      <c r="J11" s="46">
        <v>32297</v>
      </c>
      <c r="K11" s="46">
        <v>13104</v>
      </c>
      <c r="L11" s="48" t="s">
        <v>179</v>
      </c>
    </row>
    <row r="12" spans="1:12" x14ac:dyDescent="0.25">
      <c r="A12" s="46">
        <v>11</v>
      </c>
      <c r="B12" s="47" t="s">
        <v>170</v>
      </c>
      <c r="C12" s="48" t="s">
        <v>183</v>
      </c>
      <c r="D12" s="46">
        <v>8</v>
      </c>
      <c r="E12" s="46">
        <v>87</v>
      </c>
      <c r="F12" s="46">
        <v>22119</v>
      </c>
      <c r="G12" s="46">
        <v>2321</v>
      </c>
      <c r="H12" s="46">
        <v>122</v>
      </c>
      <c r="I12" s="46">
        <v>18.7</v>
      </c>
      <c r="J12" s="46">
        <v>24486</v>
      </c>
      <c r="K12" s="46">
        <v>9196.5</v>
      </c>
      <c r="L12" s="48"/>
    </row>
    <row r="13" spans="1:12" x14ac:dyDescent="0.25">
      <c r="A13" s="46">
        <v>12</v>
      </c>
      <c r="B13" s="47" t="s">
        <v>170</v>
      </c>
      <c r="C13" s="48" t="s">
        <v>184</v>
      </c>
      <c r="D13" s="46">
        <v>7</v>
      </c>
      <c r="E13" s="46">
        <v>72</v>
      </c>
      <c r="F13" s="46">
        <v>164405</v>
      </c>
      <c r="G13" s="46">
        <v>24421</v>
      </c>
      <c r="H13" s="46">
        <v>533</v>
      </c>
      <c r="I13" s="46">
        <v>13.6</v>
      </c>
      <c r="J13" s="46">
        <v>24486</v>
      </c>
      <c r="K13" s="46">
        <v>9196.5</v>
      </c>
      <c r="L13" s="48"/>
    </row>
    <row r="14" spans="1:12" x14ac:dyDescent="0.25">
      <c r="A14" s="46">
        <v>13</v>
      </c>
      <c r="B14" s="47" t="s">
        <v>170</v>
      </c>
      <c r="C14" s="48" t="s">
        <v>446</v>
      </c>
      <c r="D14" s="46">
        <v>7</v>
      </c>
      <c r="E14" s="46">
        <v>82</v>
      </c>
      <c r="F14" s="46">
        <v>193638</v>
      </c>
      <c r="G14" s="46">
        <v>29931</v>
      </c>
      <c r="H14" s="46">
        <v>2273</v>
      </c>
      <c r="I14" s="46">
        <v>14.7</v>
      </c>
      <c r="J14" s="46">
        <v>23919.83</v>
      </c>
      <c r="K14" s="46">
        <v>15863.29</v>
      </c>
      <c r="L14" s="48"/>
    </row>
    <row r="15" spans="1:12" x14ac:dyDescent="0.25">
      <c r="A15" s="46">
        <v>14</v>
      </c>
      <c r="B15" s="47" t="s">
        <v>170</v>
      </c>
      <c r="C15" s="48" t="s">
        <v>230</v>
      </c>
      <c r="D15" s="46">
        <v>4</v>
      </c>
      <c r="E15" s="46">
        <v>58</v>
      </c>
      <c r="F15" s="46">
        <v>110269</v>
      </c>
      <c r="G15" s="46">
        <v>12440</v>
      </c>
      <c r="H15" s="46">
        <v>884</v>
      </c>
      <c r="I15" s="46">
        <v>18.7</v>
      </c>
      <c r="J15" s="46">
        <v>3701</v>
      </c>
      <c r="K15" s="46">
        <v>22267</v>
      </c>
      <c r="L15" s="48"/>
    </row>
    <row r="16" spans="1:12" x14ac:dyDescent="0.25">
      <c r="A16" s="46">
        <v>15</v>
      </c>
      <c r="B16" s="47" t="s">
        <v>170</v>
      </c>
      <c r="C16" s="48" t="s">
        <v>239</v>
      </c>
      <c r="D16" s="46">
        <v>6</v>
      </c>
      <c r="E16" s="46">
        <v>105</v>
      </c>
      <c r="F16" s="46">
        <v>189996</v>
      </c>
      <c r="G16" s="46">
        <v>24803</v>
      </c>
      <c r="H16" s="46">
        <v>1700</v>
      </c>
      <c r="I16" s="46">
        <v>17</v>
      </c>
      <c r="J16" s="46">
        <v>57000</v>
      </c>
      <c r="K16" s="46">
        <v>13124.91</v>
      </c>
      <c r="L16" s="48"/>
    </row>
    <row r="17" spans="1:12" x14ac:dyDescent="0.25">
      <c r="A17" s="46">
        <v>16</v>
      </c>
      <c r="B17" s="47" t="s">
        <v>170</v>
      </c>
      <c r="C17" s="48" t="s">
        <v>447</v>
      </c>
      <c r="D17" s="46">
        <v>6</v>
      </c>
      <c r="E17" s="46">
        <v>85</v>
      </c>
      <c r="F17" s="46">
        <v>133939</v>
      </c>
      <c r="G17" s="46">
        <v>15536</v>
      </c>
      <c r="H17" s="46">
        <v>2688</v>
      </c>
      <c r="I17" s="46">
        <v>18.7</v>
      </c>
      <c r="J17" s="46">
        <v>24524.559999999998</v>
      </c>
      <c r="K17" s="46">
        <v>11015.45</v>
      </c>
      <c r="L17" s="48"/>
    </row>
    <row r="18" spans="1:12" x14ac:dyDescent="0.25">
      <c r="A18" s="46">
        <v>17</v>
      </c>
      <c r="B18" s="47" t="s">
        <v>448</v>
      </c>
      <c r="C18" s="48" t="s">
        <v>449</v>
      </c>
      <c r="D18" s="46">
        <v>10</v>
      </c>
      <c r="E18" s="46">
        <v>167</v>
      </c>
      <c r="F18" s="46">
        <v>276904</v>
      </c>
      <c r="G18" s="46">
        <v>36764</v>
      </c>
      <c r="H18" s="46">
        <v>12825</v>
      </c>
      <c r="I18" s="184">
        <v>8.5</v>
      </c>
      <c r="J18" s="46">
        <v>15140.92</v>
      </c>
      <c r="K18" s="46">
        <v>8446.3499999999985</v>
      </c>
      <c r="L18" s="48"/>
    </row>
    <row r="19" spans="1:12" x14ac:dyDescent="0.25">
      <c r="A19" s="46">
        <v>18</v>
      </c>
      <c r="B19" s="47" t="s">
        <v>448</v>
      </c>
      <c r="C19" s="48" t="s">
        <v>213</v>
      </c>
      <c r="D19" s="46">
        <v>12</v>
      </c>
      <c r="E19" s="46">
        <v>155</v>
      </c>
      <c r="F19" s="46">
        <v>318834</v>
      </c>
      <c r="G19" s="46">
        <v>48192</v>
      </c>
      <c r="H19" s="46">
        <v>0</v>
      </c>
      <c r="I19" s="46">
        <v>6.9</v>
      </c>
      <c r="J19" s="46">
        <v>66844</v>
      </c>
      <c r="K19" s="46">
        <v>23878</v>
      </c>
      <c r="L19" s="48"/>
    </row>
    <row r="20" spans="1:12" x14ac:dyDescent="0.25">
      <c r="A20" s="46">
        <v>19</v>
      </c>
      <c r="B20" s="47" t="s">
        <v>448</v>
      </c>
      <c r="C20" s="48" t="s">
        <v>215</v>
      </c>
      <c r="D20" s="46">
        <v>6</v>
      </c>
      <c r="E20" s="46">
        <v>80</v>
      </c>
      <c r="F20" s="46">
        <v>106296</v>
      </c>
      <c r="G20" s="46">
        <v>15045</v>
      </c>
      <c r="H20" s="46">
        <v>407</v>
      </c>
      <c r="I20" s="46">
        <v>13</v>
      </c>
      <c r="J20" s="46">
        <v>38343</v>
      </c>
      <c r="K20" s="46">
        <v>8977</v>
      </c>
      <c r="L20" s="48"/>
    </row>
    <row r="21" spans="1:12" x14ac:dyDescent="0.25">
      <c r="A21" s="46">
        <v>20</v>
      </c>
      <c r="B21" s="47" t="s">
        <v>181</v>
      </c>
      <c r="C21" s="48" t="s">
        <v>450</v>
      </c>
      <c r="D21" s="185">
        <v>5</v>
      </c>
      <c r="E21" s="46">
        <v>21</v>
      </c>
      <c r="F21" s="46">
        <v>76494</v>
      </c>
      <c r="G21" s="46">
        <v>14114</v>
      </c>
      <c r="H21" s="46">
        <v>1182</v>
      </c>
      <c r="I21" s="46">
        <v>20.3</v>
      </c>
      <c r="J21" s="46">
        <v>816</v>
      </c>
      <c r="K21" s="46">
        <v>21919</v>
      </c>
      <c r="L21" s="48"/>
    </row>
    <row r="22" spans="1:12" x14ac:dyDescent="0.25">
      <c r="A22" s="46">
        <v>21</v>
      </c>
      <c r="B22" s="47" t="s">
        <v>181</v>
      </c>
      <c r="C22" s="48" t="s">
        <v>451</v>
      </c>
      <c r="D22" s="46">
        <v>7</v>
      </c>
      <c r="E22" s="46">
        <v>38</v>
      </c>
      <c r="F22" s="46">
        <v>130813</v>
      </c>
      <c r="G22" s="46">
        <v>17639</v>
      </c>
      <c r="H22" s="46">
        <v>1753</v>
      </c>
      <c r="I22" s="46">
        <v>34</v>
      </c>
      <c r="J22" s="46">
        <v>8536</v>
      </c>
      <c r="K22" s="46">
        <v>23320</v>
      </c>
      <c r="L22" s="48"/>
    </row>
    <row r="23" spans="1:12" x14ac:dyDescent="0.25">
      <c r="A23" s="303" t="s">
        <v>24</v>
      </c>
      <c r="B23" s="303"/>
      <c r="C23" s="303"/>
      <c r="D23" s="186">
        <f>SUM(D2:D22)</f>
        <v>142</v>
      </c>
      <c r="E23" s="186">
        <f t="shared" ref="E23:K23" si="0">SUM(E2:E22)</f>
        <v>1523</v>
      </c>
      <c r="F23" s="186">
        <f t="shared" si="0"/>
        <v>2778313</v>
      </c>
      <c r="G23" s="186">
        <f t="shared" si="0"/>
        <v>383513</v>
      </c>
      <c r="H23" s="186">
        <f t="shared" si="0"/>
        <v>63023</v>
      </c>
      <c r="I23" s="187">
        <f>SUM(I2:I22)/21</f>
        <v>17.376190476190477</v>
      </c>
      <c r="J23" s="186">
        <f t="shared" si="0"/>
        <v>536447.85000000009</v>
      </c>
      <c r="K23" s="186">
        <f t="shared" si="0"/>
        <v>294761.75</v>
      </c>
      <c r="L23" s="188"/>
    </row>
    <row r="25" spans="1:12" x14ac:dyDescent="0.25">
      <c r="E25" t="s">
        <v>122</v>
      </c>
      <c r="F25" s="33">
        <f>F23/E23</f>
        <v>1824.2370321733422</v>
      </c>
      <c r="G25" s="33">
        <f>G23/E23</f>
        <v>251.81418253447143</v>
      </c>
      <c r="K25">
        <f>K23/E23</f>
        <v>193.54021667760998</v>
      </c>
    </row>
    <row r="26" spans="1:12" x14ac:dyDescent="0.25">
      <c r="C26" s="245" t="s">
        <v>454</v>
      </c>
      <c r="D26" s="245"/>
      <c r="E26" s="4">
        <v>400</v>
      </c>
      <c r="F26" s="42"/>
      <c r="K26" s="36">
        <f>K25*E26</f>
        <v>77416.086671043988</v>
      </c>
      <c r="L26">
        <f>K26/E27</f>
        <v>0.77416086671043993</v>
      </c>
    </row>
    <row r="27" spans="1:12" x14ac:dyDescent="0.25">
      <c r="C27" s="245" t="s">
        <v>467</v>
      </c>
      <c r="D27" s="245"/>
      <c r="E27" s="4">
        <f>400*250</f>
        <v>100000</v>
      </c>
      <c r="G27" t="s">
        <v>479</v>
      </c>
    </row>
    <row r="28" spans="1:12" x14ac:dyDescent="0.25">
      <c r="C28" t="s">
        <v>346</v>
      </c>
      <c r="E28" s="4">
        <v>650000</v>
      </c>
    </row>
    <row r="29" spans="1:12" x14ac:dyDescent="0.25">
      <c r="C29" t="s">
        <v>482</v>
      </c>
      <c r="E29" s="5">
        <f>E28/F23</f>
        <v>0.23395492156571271</v>
      </c>
      <c r="G29" s="218">
        <f>E28*0.174</f>
        <v>113099.99999999999</v>
      </c>
      <c r="H29" t="s">
        <v>567</v>
      </c>
    </row>
    <row r="30" spans="1:12" x14ac:dyDescent="0.25">
      <c r="G30" s="218">
        <f>E28-G29</f>
        <v>536900</v>
      </c>
      <c r="H30" t="s">
        <v>568</v>
      </c>
    </row>
    <row r="31" spans="1:12" x14ac:dyDescent="0.25">
      <c r="C31" t="s">
        <v>483</v>
      </c>
      <c r="E31">
        <f>F23/G23</f>
        <v>7.2443776351779468</v>
      </c>
    </row>
    <row r="32" spans="1:12" x14ac:dyDescent="0.25">
      <c r="C32" t="s">
        <v>494</v>
      </c>
      <c r="E32" s="36">
        <f>K26</f>
        <v>77416.086671043988</v>
      </c>
    </row>
    <row r="33" spans="3:6" x14ac:dyDescent="0.25">
      <c r="C33" t="s">
        <v>495</v>
      </c>
      <c r="E33" s="36">
        <f>K25</f>
        <v>193.54021667760998</v>
      </c>
    </row>
    <row r="34" spans="3:6" x14ac:dyDescent="0.25">
      <c r="C34" t="s">
        <v>496</v>
      </c>
      <c r="E34">
        <f>L26</f>
        <v>0.77416086671043993</v>
      </c>
    </row>
    <row r="35" spans="3:6" x14ac:dyDescent="0.25">
      <c r="C35" t="s">
        <v>497</v>
      </c>
      <c r="E35">
        <v>7.7</v>
      </c>
    </row>
    <row r="36" spans="3:6" x14ac:dyDescent="0.25">
      <c r="C36" t="s">
        <v>500</v>
      </c>
      <c r="E36">
        <v>7</v>
      </c>
      <c r="F36" t="s">
        <v>501</v>
      </c>
    </row>
    <row r="37" spans="3:6" x14ac:dyDescent="0.25">
      <c r="E37">
        <v>3</v>
      </c>
      <c r="F37" t="s">
        <v>137</v>
      </c>
    </row>
  </sheetData>
  <mergeCells count="3">
    <mergeCell ref="A23:C23"/>
    <mergeCell ref="C26:D26"/>
    <mergeCell ref="C27:D27"/>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2013A-2CED-7949-9B25-298B00C36266}">
  <dimension ref="A2:S19"/>
  <sheetViews>
    <sheetView zoomScale="85" zoomScaleNormal="85" workbookViewId="0"/>
  </sheetViews>
  <sheetFormatPr defaultColWidth="11" defaultRowHeight="15.75" x14ac:dyDescent="0.25"/>
  <cols>
    <col min="4" max="4" width="38.875" customWidth="1"/>
    <col min="5" max="5" width="14.5" customWidth="1"/>
    <col min="6" max="6" width="11.5" bestFit="1" customWidth="1"/>
    <col min="7" max="7" width="28.875" customWidth="1"/>
    <col min="8" max="8" width="25" customWidth="1"/>
    <col min="9" max="9" width="12.625" bestFit="1" customWidth="1"/>
    <col min="10" max="10" width="14.125" customWidth="1"/>
    <col min="11" max="11" width="15.875" customWidth="1"/>
    <col min="12" max="12" width="10.875" customWidth="1"/>
    <col min="13" max="13" width="17" customWidth="1"/>
    <col min="19" max="19" width="12.125" bestFit="1" customWidth="1"/>
  </cols>
  <sheetData>
    <row r="2" spans="1:19" x14ac:dyDescent="0.25">
      <c r="G2" t="s">
        <v>310</v>
      </c>
      <c r="L2" s="245" t="s">
        <v>432</v>
      </c>
      <c r="M2" s="245"/>
    </row>
    <row r="3" spans="1:19" x14ac:dyDescent="0.25">
      <c r="A3" t="s">
        <v>121</v>
      </c>
      <c r="B3" t="s">
        <v>311</v>
      </c>
      <c r="C3" t="s">
        <v>307</v>
      </c>
      <c r="D3" t="s">
        <v>312</v>
      </c>
      <c r="E3" t="s">
        <v>308</v>
      </c>
      <c r="F3" t="s">
        <v>309</v>
      </c>
      <c r="G3" t="s">
        <v>315</v>
      </c>
      <c r="H3" t="s">
        <v>316</v>
      </c>
      <c r="I3" t="s">
        <v>315</v>
      </c>
      <c r="J3" t="s">
        <v>316</v>
      </c>
      <c r="K3" t="s">
        <v>24</v>
      </c>
      <c r="L3" t="s">
        <v>430</v>
      </c>
      <c r="M3" t="s">
        <v>431</v>
      </c>
      <c r="N3" t="s">
        <v>441</v>
      </c>
    </row>
    <row r="4" spans="1:19" ht="47.25" x14ac:dyDescent="0.25">
      <c r="A4" t="s">
        <v>434</v>
      </c>
      <c r="B4" t="s">
        <v>436</v>
      </c>
      <c r="C4" t="s">
        <v>435</v>
      </c>
      <c r="D4" t="s">
        <v>433</v>
      </c>
      <c r="E4" s="4">
        <v>1000000</v>
      </c>
      <c r="I4" s="8">
        <v>63294</v>
      </c>
      <c r="L4" s="36">
        <f>E4/I4</f>
        <v>15.799285872278572</v>
      </c>
      <c r="N4" s="126" t="s">
        <v>437</v>
      </c>
      <c r="S4">
        <v>3488512402</v>
      </c>
    </row>
    <row r="5" spans="1:19" ht="141.75" x14ac:dyDescent="0.25">
      <c r="A5" s="127">
        <v>44292</v>
      </c>
      <c r="C5" t="s">
        <v>320</v>
      </c>
      <c r="D5" s="126" t="s">
        <v>319</v>
      </c>
      <c r="E5" s="8">
        <v>735000000</v>
      </c>
      <c r="F5" s="8">
        <v>135000000</v>
      </c>
      <c r="G5" s="126" t="s">
        <v>321</v>
      </c>
      <c r="H5" s="128" t="s">
        <v>322</v>
      </c>
      <c r="I5">
        <v>552300</v>
      </c>
      <c r="L5" s="33">
        <f>E5/I5</f>
        <v>1330.7984790874525</v>
      </c>
      <c r="M5" s="33">
        <f>F5/I5</f>
        <v>244.43237370994024</v>
      </c>
      <c r="N5" s="126" t="s">
        <v>323</v>
      </c>
      <c r="S5" t="s">
        <v>442</v>
      </c>
    </row>
    <row r="6" spans="1:19" ht="47.25" x14ac:dyDescent="0.25">
      <c r="A6" s="127">
        <v>44148</v>
      </c>
      <c r="B6" t="s">
        <v>327</v>
      </c>
      <c r="C6" t="s">
        <v>329</v>
      </c>
      <c r="D6" s="126" t="s">
        <v>328</v>
      </c>
      <c r="E6" s="8">
        <v>66700000</v>
      </c>
      <c r="F6" s="8">
        <v>29837169</v>
      </c>
      <c r="G6" t="s">
        <v>331</v>
      </c>
      <c r="H6" t="s">
        <v>330</v>
      </c>
      <c r="I6">
        <v>116353</v>
      </c>
      <c r="L6" s="33">
        <f>E6/I6</f>
        <v>573.25552413775324</v>
      </c>
      <c r="M6" s="33">
        <f>F6/I6</f>
        <v>256.43661100272448</v>
      </c>
    </row>
    <row r="7" spans="1:19" ht="94.5" x14ac:dyDescent="0.25">
      <c r="A7" s="127">
        <v>43854</v>
      </c>
      <c r="C7" t="s">
        <v>314</v>
      </c>
      <c r="D7" s="126" t="s">
        <v>313</v>
      </c>
      <c r="E7" s="8">
        <v>40639335</v>
      </c>
      <c r="F7" s="4">
        <v>10000000</v>
      </c>
      <c r="G7" s="126" t="s">
        <v>317</v>
      </c>
      <c r="H7" s="126" t="s">
        <v>318</v>
      </c>
      <c r="I7" s="4">
        <v>11296000</v>
      </c>
      <c r="J7" s="4">
        <v>323900000</v>
      </c>
      <c r="K7" s="42">
        <f>SUM(I7:J7)</f>
        <v>335196000</v>
      </c>
      <c r="L7" s="36">
        <f>E7/I7</f>
        <v>3.5976748406515582</v>
      </c>
      <c r="M7" s="33">
        <f>F7/I7</f>
        <v>0.88526912181303119</v>
      </c>
    </row>
    <row r="8" spans="1:19" ht="47.25" x14ac:dyDescent="0.25">
      <c r="A8" s="127">
        <v>43783</v>
      </c>
      <c r="C8" t="s">
        <v>438</v>
      </c>
      <c r="D8" s="126" t="s">
        <v>439</v>
      </c>
      <c r="E8" s="8">
        <v>50000000</v>
      </c>
      <c r="F8" s="4">
        <v>30000000</v>
      </c>
      <c r="H8" s="8"/>
      <c r="I8" s="8">
        <v>432450</v>
      </c>
      <c r="L8" s="33">
        <f>E8/I8</f>
        <v>115.62030292519367</v>
      </c>
      <c r="N8" s="126" t="s">
        <v>440</v>
      </c>
    </row>
    <row r="10" spans="1:19" x14ac:dyDescent="0.25">
      <c r="S10">
        <v>3325539899</v>
      </c>
    </row>
    <row r="11" spans="1:19" x14ac:dyDescent="0.25">
      <c r="A11" t="s">
        <v>444</v>
      </c>
      <c r="B11" t="s">
        <v>443</v>
      </c>
    </row>
    <row r="18" spans="19:19" x14ac:dyDescent="0.25">
      <c r="S18">
        <v>3065614700</v>
      </c>
    </row>
    <row r="19" spans="19:19" x14ac:dyDescent="0.25">
      <c r="S19">
        <v>1330205295755</v>
      </c>
    </row>
  </sheetData>
  <mergeCells count="1">
    <mergeCell ref="L2:M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08549-28F4-B744-818C-3D0F37A20C5E}">
  <dimension ref="A1:G18"/>
  <sheetViews>
    <sheetView workbookViewId="0">
      <selection activeCell="C3" sqref="C3"/>
    </sheetView>
  </sheetViews>
  <sheetFormatPr defaultColWidth="11" defaultRowHeight="15.75" x14ac:dyDescent="0.25"/>
  <cols>
    <col min="1" max="1" width="53" customWidth="1"/>
    <col min="2" max="2" width="22.5" customWidth="1"/>
    <col min="3" max="4" width="21" customWidth="1"/>
  </cols>
  <sheetData>
    <row r="1" spans="1:7" x14ac:dyDescent="0.25">
      <c r="A1" s="244" t="s">
        <v>521</v>
      </c>
      <c r="B1" s="244"/>
      <c r="C1" s="244"/>
      <c r="D1" s="244"/>
      <c r="E1" s="244"/>
      <c r="F1" s="244"/>
      <c r="G1" s="244"/>
    </row>
    <row r="2" spans="1:7" x14ac:dyDescent="0.25">
      <c r="B2" t="s">
        <v>23</v>
      </c>
      <c r="C2" t="s">
        <v>564</v>
      </c>
      <c r="D2" t="s">
        <v>565</v>
      </c>
      <c r="E2" t="s">
        <v>522</v>
      </c>
    </row>
    <row r="3" spans="1:7" ht="51" customHeight="1" x14ac:dyDescent="0.25">
      <c r="A3" s="207" t="s">
        <v>507</v>
      </c>
      <c r="B3" s="211" t="s">
        <v>509</v>
      </c>
      <c r="C3" s="222" t="s">
        <v>580</v>
      </c>
      <c r="E3" t="s">
        <v>523</v>
      </c>
    </row>
    <row r="5" spans="1:7" ht="16.5" thickBot="1" x14ac:dyDescent="0.3">
      <c r="A5" s="203" t="s">
        <v>508</v>
      </c>
      <c r="B5" s="212" t="s">
        <v>510</v>
      </c>
      <c r="C5" s="172">
        <v>2918425.9</v>
      </c>
      <c r="D5" s="37">
        <f>C5*0.515</f>
        <v>1502989.3385000001</v>
      </c>
      <c r="E5" t="s">
        <v>529</v>
      </c>
    </row>
    <row r="6" spans="1:7" ht="29.25" x14ac:dyDescent="0.25">
      <c r="A6" s="213" t="s">
        <v>537</v>
      </c>
      <c r="B6" s="212" t="s">
        <v>510</v>
      </c>
      <c r="C6" s="178">
        <v>650000</v>
      </c>
      <c r="D6" s="37">
        <f>C6*0.515</f>
        <v>334750</v>
      </c>
      <c r="E6" t="s">
        <v>538</v>
      </c>
    </row>
    <row r="7" spans="1:7" ht="24.75" x14ac:dyDescent="0.25">
      <c r="A7" s="206" t="s">
        <v>566</v>
      </c>
      <c r="B7" s="212" t="s">
        <v>510</v>
      </c>
      <c r="C7" s="38">
        <v>93600</v>
      </c>
      <c r="D7" s="38">
        <f>C7*0.515</f>
        <v>48204</v>
      </c>
      <c r="E7" t="s">
        <v>532</v>
      </c>
    </row>
    <row r="8" spans="1:7" ht="47.25" x14ac:dyDescent="0.25">
      <c r="A8" s="126" t="s">
        <v>515</v>
      </c>
      <c r="B8" s="212" t="s">
        <v>510</v>
      </c>
      <c r="C8" s="210">
        <f>'CR2 -SI 2.5'!Q12</f>
        <v>1256886.8</v>
      </c>
      <c r="D8" s="217">
        <f>C8*0.515</f>
        <v>647296.70200000005</v>
      </c>
      <c r="E8" t="s">
        <v>534</v>
      </c>
    </row>
    <row r="9" spans="1:7" ht="47.25" x14ac:dyDescent="0.25">
      <c r="A9" s="203" t="s">
        <v>512</v>
      </c>
      <c r="B9" s="211" t="s">
        <v>513</v>
      </c>
      <c r="C9" s="42">
        <v>370013000</v>
      </c>
      <c r="D9" s="42"/>
      <c r="E9" t="s">
        <v>562</v>
      </c>
    </row>
    <row r="11" spans="1:7" ht="47.25" x14ac:dyDescent="0.25">
      <c r="A11" s="203" t="s">
        <v>514</v>
      </c>
      <c r="B11" s="212" t="s">
        <v>116</v>
      </c>
      <c r="C11" s="4">
        <f>180000+8641</f>
        <v>188641</v>
      </c>
      <c r="D11" s="4"/>
      <c r="E11" t="s">
        <v>560</v>
      </c>
    </row>
    <row r="12" spans="1:7" ht="36.75" x14ac:dyDescent="0.25">
      <c r="A12" s="204" t="s">
        <v>516</v>
      </c>
      <c r="B12" s="212" t="s">
        <v>116</v>
      </c>
      <c r="C12" s="4">
        <f>7073+1350+218</f>
        <v>8641</v>
      </c>
      <c r="D12" s="4"/>
      <c r="E12" t="s">
        <v>560</v>
      </c>
    </row>
    <row r="13" spans="1:7" ht="24.75" x14ac:dyDescent="0.25">
      <c r="A13" s="206" t="s">
        <v>517</v>
      </c>
      <c r="B13" s="212" t="s">
        <v>518</v>
      </c>
      <c r="C13" s="8">
        <v>604800</v>
      </c>
      <c r="D13" s="8"/>
      <c r="E13" t="s">
        <v>561</v>
      </c>
    </row>
    <row r="14" spans="1:7" x14ac:dyDescent="0.25">
      <c r="A14" s="205"/>
    </row>
    <row r="15" spans="1:7" ht="57.75" x14ac:dyDescent="0.25">
      <c r="A15" s="207" t="s">
        <v>519</v>
      </c>
      <c r="B15" s="212" t="s">
        <v>563</v>
      </c>
    </row>
    <row r="16" spans="1:7" ht="43.5" x14ac:dyDescent="0.25">
      <c r="A16" s="207" t="s">
        <v>520</v>
      </c>
      <c r="B16" s="212" t="s">
        <v>563</v>
      </c>
    </row>
    <row r="17" spans="1:1" x14ac:dyDescent="0.25">
      <c r="A17" s="207"/>
    </row>
    <row r="18" spans="1:1" x14ac:dyDescent="0.25">
      <c r="A18" s="207"/>
    </row>
  </sheetData>
  <mergeCells count="1">
    <mergeCell ref="A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17068-5C99-8742-956E-8895946809EC}">
  <dimension ref="A1:S27"/>
  <sheetViews>
    <sheetView zoomScale="83" workbookViewId="0">
      <selection activeCell="J17" sqref="J17"/>
    </sheetView>
  </sheetViews>
  <sheetFormatPr defaultColWidth="11" defaultRowHeight="15.75" x14ac:dyDescent="0.25"/>
  <cols>
    <col min="1" max="1" width="38" customWidth="1"/>
    <col min="7" max="7" width="11.625" bestFit="1" customWidth="1"/>
  </cols>
  <sheetData>
    <row r="1" spans="1:19" ht="30" customHeight="1" x14ac:dyDescent="0.25">
      <c r="C1" s="247" t="s">
        <v>537</v>
      </c>
      <c r="D1" s="247"/>
      <c r="E1" s="247"/>
      <c r="F1" s="247"/>
      <c r="G1" s="247"/>
      <c r="H1" s="247"/>
      <c r="I1" s="247"/>
      <c r="J1" s="247"/>
      <c r="K1" s="247"/>
      <c r="L1" s="247"/>
      <c r="M1" s="247"/>
      <c r="N1" s="247"/>
    </row>
    <row r="3" spans="1:19" ht="32.25" thickBot="1" x14ac:dyDescent="0.3">
      <c r="E3" s="244" t="s">
        <v>188</v>
      </c>
      <c r="F3" s="244"/>
      <c r="G3" s="244"/>
      <c r="H3" s="132"/>
      <c r="I3" s="53" t="s">
        <v>189</v>
      </c>
      <c r="J3" s="243" t="s">
        <v>190</v>
      </c>
      <c r="K3" s="243"/>
      <c r="L3" s="243"/>
      <c r="M3" s="136"/>
      <c r="N3" s="135" t="s">
        <v>191</v>
      </c>
      <c r="O3" s="244" t="s">
        <v>192</v>
      </c>
      <c r="P3" s="244"/>
      <c r="Q3" s="244"/>
      <c r="R3" s="132"/>
      <c r="S3" s="53" t="s">
        <v>193</v>
      </c>
    </row>
    <row r="4" spans="1:19" ht="16.5" thickBot="1" x14ac:dyDescent="0.3">
      <c r="A4" s="26"/>
      <c r="B4" t="s">
        <v>27</v>
      </c>
      <c r="C4" t="s">
        <v>23</v>
      </c>
      <c r="D4" t="s">
        <v>115</v>
      </c>
      <c r="E4" s="13" t="s">
        <v>25</v>
      </c>
      <c r="F4" s="13" t="s">
        <v>22</v>
      </c>
      <c r="G4" s="13" t="s">
        <v>346</v>
      </c>
      <c r="H4" s="132" t="s">
        <v>343</v>
      </c>
      <c r="I4" s="13" t="s">
        <v>26</v>
      </c>
      <c r="J4" s="136" t="s">
        <v>25</v>
      </c>
      <c r="K4" s="136" t="s">
        <v>22</v>
      </c>
      <c r="L4" s="136" t="s">
        <v>346</v>
      </c>
      <c r="M4" s="137" t="s">
        <v>343</v>
      </c>
      <c r="N4" s="136" t="s">
        <v>26</v>
      </c>
      <c r="O4" s="13" t="s">
        <v>25</v>
      </c>
      <c r="P4" s="13" t="s">
        <v>22</v>
      </c>
      <c r="Q4" s="13" t="s">
        <v>24</v>
      </c>
      <c r="R4" s="13" t="s">
        <v>344</v>
      </c>
      <c r="S4" s="13" t="s">
        <v>26</v>
      </c>
    </row>
    <row r="5" spans="1:19" ht="30" customHeight="1" thickBot="1" x14ac:dyDescent="0.3">
      <c r="A5" s="26" t="s">
        <v>33</v>
      </c>
      <c r="B5" t="s">
        <v>119</v>
      </c>
      <c r="C5" t="s">
        <v>113</v>
      </c>
      <c r="D5">
        <v>531</v>
      </c>
      <c r="E5" s="4"/>
      <c r="F5" s="138"/>
      <c r="G5" s="42"/>
      <c r="H5" s="38">
        <v>50000</v>
      </c>
      <c r="I5" s="4">
        <v>96000</v>
      </c>
    </row>
    <row r="6" spans="1:19" ht="30" customHeight="1" thickBot="1" x14ac:dyDescent="0.3">
      <c r="A6" s="26" t="s">
        <v>37</v>
      </c>
      <c r="B6" t="s">
        <v>120</v>
      </c>
      <c r="C6" t="s">
        <v>116</v>
      </c>
      <c r="D6" s="190">
        <v>5980</v>
      </c>
      <c r="E6" s="139"/>
      <c r="F6" s="139"/>
      <c r="G6" s="139"/>
      <c r="H6" s="37">
        <v>508.2</v>
      </c>
      <c r="I6" s="189">
        <v>1694</v>
      </c>
    </row>
    <row r="7" spans="1:19" ht="30" customHeight="1" thickBot="1" x14ac:dyDescent="0.3">
      <c r="A7" s="26" t="s">
        <v>401</v>
      </c>
      <c r="D7" s="190"/>
      <c r="H7" s="37"/>
      <c r="I7" s="4"/>
    </row>
    <row r="8" spans="1:19" ht="30" customHeight="1" thickBot="1" x14ac:dyDescent="0.3">
      <c r="A8" s="193" t="s">
        <v>398</v>
      </c>
      <c r="B8" s="194" t="s">
        <v>468</v>
      </c>
      <c r="C8" s="194" t="s">
        <v>397</v>
      </c>
      <c r="D8" s="195">
        <v>256.7590909090909</v>
      </c>
      <c r="E8" s="196">
        <v>127.09575</v>
      </c>
      <c r="F8" s="196">
        <v>132.23093181818183</v>
      </c>
      <c r="G8" s="196">
        <v>256.7590909090909</v>
      </c>
      <c r="H8" s="197">
        <v>77.027727272727262</v>
      </c>
      <c r="I8" s="198">
        <v>256.7590909090909</v>
      </c>
    </row>
    <row r="9" spans="1:19" ht="16.5" thickBot="1" x14ac:dyDescent="0.3">
      <c r="A9" s="193" t="s">
        <v>469</v>
      </c>
      <c r="B9" s="194" t="s">
        <v>470</v>
      </c>
      <c r="C9" s="194" t="s">
        <v>397</v>
      </c>
      <c r="D9" s="195">
        <v>897</v>
      </c>
      <c r="E9" s="196">
        <v>444.01499999999999</v>
      </c>
      <c r="F9" s="196">
        <v>461.95499999999998</v>
      </c>
      <c r="G9" s="196">
        <v>897</v>
      </c>
      <c r="H9" s="197">
        <v>269.09999999999997</v>
      </c>
      <c r="I9" s="198">
        <v>897</v>
      </c>
    </row>
    <row r="10" spans="1:19" x14ac:dyDescent="0.25">
      <c r="A10" s="22" t="s">
        <v>154</v>
      </c>
      <c r="C10" t="s">
        <v>153</v>
      </c>
      <c r="E10">
        <v>45</v>
      </c>
      <c r="F10">
        <v>5</v>
      </c>
      <c r="G10">
        <v>50</v>
      </c>
      <c r="I10">
        <v>50</v>
      </c>
    </row>
    <row r="11" spans="1:19" x14ac:dyDescent="0.25">
      <c r="A11" s="145" t="s">
        <v>353</v>
      </c>
      <c r="C11" t="s">
        <v>354</v>
      </c>
      <c r="D11">
        <v>264</v>
      </c>
      <c r="I11">
        <v>264</v>
      </c>
    </row>
    <row r="12" spans="1:19" x14ac:dyDescent="0.25">
      <c r="A12" s="22" t="s">
        <v>474</v>
      </c>
      <c r="B12" t="s">
        <v>406</v>
      </c>
      <c r="C12" t="s">
        <v>473</v>
      </c>
      <c r="D12">
        <v>1020</v>
      </c>
      <c r="F12">
        <v>5100</v>
      </c>
      <c r="H12">
        <v>3570</v>
      </c>
      <c r="I12">
        <v>10200</v>
      </c>
    </row>
    <row r="13" spans="1:19" x14ac:dyDescent="0.25">
      <c r="A13" s="22" t="s">
        <v>475</v>
      </c>
      <c r="B13" t="s">
        <v>407</v>
      </c>
      <c r="C13" t="s">
        <v>156</v>
      </c>
      <c r="D13">
        <v>110</v>
      </c>
      <c r="F13">
        <v>1100</v>
      </c>
      <c r="H13">
        <v>770</v>
      </c>
      <c r="I13" s="33">
        <v>2200</v>
      </c>
    </row>
    <row r="15" spans="1:19" x14ac:dyDescent="0.25">
      <c r="G15" s="36"/>
      <c r="I15" s="42">
        <f>SUM(I5:I14)</f>
        <v>111561.75909090909</v>
      </c>
    </row>
    <row r="16" spans="1:19" x14ac:dyDescent="0.25">
      <c r="H16" s="220" t="s">
        <v>576</v>
      </c>
      <c r="I16" s="8">
        <v>100000</v>
      </c>
      <c r="J16" t="s">
        <v>582</v>
      </c>
    </row>
    <row r="20" spans="1:10" x14ac:dyDescent="0.25">
      <c r="A20" t="s">
        <v>525</v>
      </c>
    </row>
    <row r="21" spans="1:10" x14ac:dyDescent="0.25">
      <c r="A21" t="s">
        <v>399</v>
      </c>
    </row>
    <row r="22" spans="1:10" ht="33.950000000000003" customHeight="1" x14ac:dyDescent="0.25">
      <c r="A22" s="248" t="s">
        <v>400</v>
      </c>
      <c r="B22" s="248"/>
      <c r="C22" s="248"/>
      <c r="D22" s="248"/>
      <c r="E22" s="248"/>
      <c r="F22" s="248"/>
      <c r="G22" s="248"/>
      <c r="H22" s="248"/>
      <c r="I22" s="248"/>
      <c r="J22" s="248"/>
    </row>
    <row r="23" spans="1:10" ht="33.950000000000003" customHeight="1" x14ac:dyDescent="0.25">
      <c r="A23" s="246" t="s">
        <v>403</v>
      </c>
      <c r="B23" s="246"/>
      <c r="C23" s="246"/>
      <c r="D23" s="246"/>
      <c r="E23" s="246"/>
      <c r="F23" s="246"/>
      <c r="G23" s="246"/>
      <c r="H23" s="246"/>
      <c r="I23" s="246"/>
    </row>
    <row r="24" spans="1:10" x14ac:dyDescent="0.25">
      <c r="A24" t="s">
        <v>477</v>
      </c>
    </row>
    <row r="25" spans="1:10" x14ac:dyDescent="0.25">
      <c r="A25" t="s">
        <v>476</v>
      </c>
    </row>
    <row r="27" spans="1:10" x14ac:dyDescent="0.25">
      <c r="A27" t="s">
        <v>577</v>
      </c>
    </row>
  </sheetData>
  <mergeCells count="6">
    <mergeCell ref="A23:I23"/>
    <mergeCell ref="C1:N1"/>
    <mergeCell ref="E3:G3"/>
    <mergeCell ref="J3:L3"/>
    <mergeCell ref="O3:Q3"/>
    <mergeCell ref="A22:J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E0F75-18D0-2941-A86D-927818687015}">
  <dimension ref="A1:S29"/>
  <sheetViews>
    <sheetView zoomScale="85" zoomScaleNormal="85" workbookViewId="0">
      <selection activeCell="I8" sqref="I8"/>
    </sheetView>
  </sheetViews>
  <sheetFormatPr defaultColWidth="11" defaultRowHeight="15.75" x14ac:dyDescent="0.25"/>
  <cols>
    <col min="1" max="1" width="18.625" customWidth="1"/>
    <col min="3" max="3" width="15.625" customWidth="1"/>
    <col min="5" max="6" width="13" bestFit="1" customWidth="1"/>
    <col min="7" max="7" width="12" bestFit="1" customWidth="1"/>
  </cols>
  <sheetData>
    <row r="1" spans="1:19" x14ac:dyDescent="0.25">
      <c r="C1" s="13" t="s">
        <v>511</v>
      </c>
    </row>
    <row r="3" spans="1:19" ht="31.5" x14ac:dyDescent="0.25">
      <c r="E3" s="244" t="s">
        <v>188</v>
      </c>
      <c r="F3" s="244"/>
      <c r="G3" s="244"/>
      <c r="H3" s="132"/>
      <c r="I3" s="53" t="s">
        <v>189</v>
      </c>
      <c r="J3" s="243" t="s">
        <v>190</v>
      </c>
      <c r="K3" s="243"/>
      <c r="L3" s="243"/>
      <c r="M3" s="136"/>
      <c r="N3" s="135" t="s">
        <v>191</v>
      </c>
      <c r="O3" s="244" t="s">
        <v>192</v>
      </c>
      <c r="P3" s="244"/>
      <c r="Q3" s="244"/>
      <c r="R3" s="132"/>
      <c r="S3" s="53" t="s">
        <v>193</v>
      </c>
    </row>
    <row r="4" spans="1:19" x14ac:dyDescent="0.25">
      <c r="B4" t="s">
        <v>27</v>
      </c>
      <c r="C4" t="s">
        <v>23</v>
      </c>
      <c r="D4" t="s">
        <v>115</v>
      </c>
      <c r="E4" s="13" t="s">
        <v>25</v>
      </c>
      <c r="F4" s="13" t="s">
        <v>22</v>
      </c>
      <c r="G4" s="13" t="s">
        <v>346</v>
      </c>
      <c r="H4" s="132" t="s">
        <v>343</v>
      </c>
      <c r="I4" s="13" t="s">
        <v>26</v>
      </c>
      <c r="J4" s="136" t="s">
        <v>25</v>
      </c>
      <c r="K4" s="136" t="s">
        <v>22</v>
      </c>
      <c r="L4" s="136" t="s">
        <v>346</v>
      </c>
      <c r="M4" s="137" t="s">
        <v>343</v>
      </c>
      <c r="N4" s="136" t="s">
        <v>26</v>
      </c>
      <c r="O4" s="13" t="s">
        <v>25</v>
      </c>
      <c r="P4" s="13" t="s">
        <v>22</v>
      </c>
      <c r="Q4" s="13" t="s">
        <v>24</v>
      </c>
      <c r="R4" s="13" t="s">
        <v>344</v>
      </c>
      <c r="S4" s="13" t="s">
        <v>26</v>
      </c>
    </row>
    <row r="5" spans="1:19" x14ac:dyDescent="0.25">
      <c r="A5" s="167" t="s">
        <v>363</v>
      </c>
      <c r="B5" t="s">
        <v>373</v>
      </c>
      <c r="C5" t="s">
        <v>365</v>
      </c>
      <c r="D5">
        <v>80</v>
      </c>
      <c r="E5" s="4"/>
      <c r="F5" s="4">
        <v>2000</v>
      </c>
      <c r="H5" s="4">
        <v>1200</v>
      </c>
      <c r="I5" s="4">
        <v>2000</v>
      </c>
    </row>
    <row r="6" spans="1:19" ht="29.25" x14ac:dyDescent="0.25">
      <c r="A6" s="22" t="s">
        <v>474</v>
      </c>
      <c r="B6" t="s">
        <v>406</v>
      </c>
      <c r="C6" t="s">
        <v>473</v>
      </c>
      <c r="D6">
        <v>1020</v>
      </c>
      <c r="F6">
        <v>5100</v>
      </c>
      <c r="H6">
        <v>3570</v>
      </c>
      <c r="I6">
        <v>10200</v>
      </c>
    </row>
    <row r="7" spans="1:19" ht="29.25" x14ac:dyDescent="0.25">
      <c r="A7" s="22" t="s">
        <v>475</v>
      </c>
      <c r="B7" t="s">
        <v>407</v>
      </c>
      <c r="C7" t="s">
        <v>156</v>
      </c>
      <c r="D7">
        <v>110</v>
      </c>
      <c r="F7">
        <v>1100</v>
      </c>
      <c r="H7">
        <v>770</v>
      </c>
      <c r="I7" s="33">
        <v>2200</v>
      </c>
    </row>
    <row r="8" spans="1:19" x14ac:dyDescent="0.25">
      <c r="E8" s="37">
        <f>G8*0.495</f>
        <v>46332</v>
      </c>
      <c r="F8" s="37">
        <f>G8*0.515</f>
        <v>48204</v>
      </c>
      <c r="G8" s="37">
        <f>I8*6.5</f>
        <v>93600</v>
      </c>
      <c r="H8" s="42">
        <f>SUM(H5:H7)</f>
        <v>5540</v>
      </c>
      <c r="I8" s="42">
        <f>SUM(I5:I7)</f>
        <v>14400</v>
      </c>
    </row>
    <row r="9" spans="1:19" x14ac:dyDescent="0.25">
      <c r="G9" s="36"/>
    </row>
    <row r="10" spans="1:19" x14ac:dyDescent="0.25">
      <c r="H10" s="138">
        <f>H8*6.5</f>
        <v>36010</v>
      </c>
    </row>
    <row r="20" spans="1:12" x14ac:dyDescent="0.25">
      <c r="A20" t="s">
        <v>525</v>
      </c>
    </row>
    <row r="21" spans="1:12" x14ac:dyDescent="0.25">
      <c r="A21" t="s">
        <v>531</v>
      </c>
    </row>
    <row r="22" spans="1:12" x14ac:dyDescent="0.25">
      <c r="A22" t="s">
        <v>480</v>
      </c>
    </row>
    <row r="23" spans="1:12" ht="30" customHeight="1" x14ac:dyDescent="0.25">
      <c r="A23" s="248" t="s">
        <v>408</v>
      </c>
      <c r="B23" s="248"/>
      <c r="C23" s="248"/>
      <c r="D23" s="248"/>
      <c r="E23" s="248"/>
      <c r="F23" s="248"/>
      <c r="G23" s="248"/>
      <c r="H23" s="248"/>
      <c r="I23" s="248"/>
      <c r="J23" s="248"/>
      <c r="K23" s="248"/>
    </row>
    <row r="24" spans="1:12" ht="30" customHeight="1" x14ac:dyDescent="0.25">
      <c r="A24" s="248" t="s">
        <v>409</v>
      </c>
      <c r="B24" s="248"/>
      <c r="C24" s="248"/>
      <c r="D24" s="248"/>
      <c r="E24" s="248"/>
      <c r="F24" s="248"/>
      <c r="G24" s="248"/>
      <c r="H24" s="248"/>
      <c r="I24" s="248"/>
      <c r="J24" s="248"/>
      <c r="K24" s="248"/>
    </row>
    <row r="25" spans="1:12" ht="30" customHeight="1" x14ac:dyDescent="0.25">
      <c r="A25" s="248" t="s">
        <v>478</v>
      </c>
      <c r="B25" s="248"/>
      <c r="C25" s="248"/>
      <c r="D25" s="248"/>
      <c r="E25" s="248"/>
      <c r="F25" s="248"/>
      <c r="G25" s="248"/>
      <c r="H25" s="248"/>
      <c r="I25" s="248"/>
      <c r="J25" s="248"/>
      <c r="K25" s="248"/>
      <c r="L25" s="248"/>
    </row>
    <row r="26" spans="1:12" x14ac:dyDescent="0.25">
      <c r="A26" t="s">
        <v>526</v>
      </c>
    </row>
    <row r="27" spans="1:12" x14ac:dyDescent="0.25">
      <c r="A27" t="s">
        <v>527</v>
      </c>
    </row>
    <row r="28" spans="1:12" x14ac:dyDescent="0.25">
      <c r="A28" t="s">
        <v>477</v>
      </c>
    </row>
    <row r="29" spans="1:12" x14ac:dyDescent="0.25">
      <c r="A29" t="s">
        <v>476</v>
      </c>
    </row>
  </sheetData>
  <mergeCells count="6">
    <mergeCell ref="A25:L25"/>
    <mergeCell ref="E3:G3"/>
    <mergeCell ref="J3:L3"/>
    <mergeCell ref="O3:Q3"/>
    <mergeCell ref="A23:K23"/>
    <mergeCell ref="A24:K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89CE8-79AF-B647-973A-643CFB71E070}">
  <dimension ref="A1:S27"/>
  <sheetViews>
    <sheetView tabSelected="1" zoomScale="70" zoomScaleNormal="70" workbookViewId="0">
      <selection activeCell="J17" sqref="J17"/>
    </sheetView>
  </sheetViews>
  <sheetFormatPr defaultColWidth="11" defaultRowHeight="15.75" x14ac:dyDescent="0.25"/>
  <cols>
    <col min="1" max="1" width="25.625" customWidth="1"/>
    <col min="17" max="17" width="13" bestFit="1" customWidth="1"/>
    <col min="18" max="18" width="13.125" customWidth="1"/>
  </cols>
  <sheetData>
    <row r="1" spans="1:19" ht="84.95" customHeight="1" x14ac:dyDescent="0.25">
      <c r="C1" s="249" t="s">
        <v>508</v>
      </c>
      <c r="D1" s="249"/>
      <c r="E1" s="249"/>
      <c r="F1" s="249"/>
      <c r="G1" s="249"/>
      <c r="H1" s="249"/>
      <c r="I1" s="249"/>
      <c r="J1" s="249"/>
      <c r="K1" s="249"/>
      <c r="L1" s="249"/>
      <c r="M1" s="249"/>
    </row>
    <row r="2" spans="1:19" x14ac:dyDescent="0.25">
      <c r="B2" s="13" t="s">
        <v>533</v>
      </c>
      <c r="C2" s="13"/>
      <c r="D2" s="13"/>
      <c r="E2" s="13"/>
      <c r="F2" s="13"/>
      <c r="G2" s="13"/>
      <c r="H2" s="13"/>
      <c r="I2" s="13"/>
      <c r="J2" s="13"/>
      <c r="K2" s="13"/>
      <c r="L2" s="13"/>
      <c r="M2" s="13"/>
      <c r="N2" s="12"/>
    </row>
    <row r="3" spans="1:19" x14ac:dyDescent="0.25">
      <c r="B3" s="12"/>
      <c r="C3" s="12"/>
      <c r="D3" s="12"/>
      <c r="E3" s="12"/>
      <c r="F3" s="12"/>
      <c r="G3" s="12"/>
      <c r="H3" s="12"/>
      <c r="I3" s="12"/>
      <c r="J3" s="12"/>
      <c r="K3" s="12"/>
      <c r="L3" s="12"/>
      <c r="M3" s="12"/>
      <c r="N3" s="12"/>
    </row>
    <row r="4" spans="1:19" ht="47.25" x14ac:dyDescent="0.25">
      <c r="A4" s="234"/>
      <c r="B4" s="234"/>
      <c r="C4" s="234"/>
      <c r="D4" s="234"/>
      <c r="E4" s="235" t="s">
        <v>188</v>
      </c>
      <c r="F4" s="234"/>
      <c r="G4" s="235"/>
      <c r="H4" s="236" t="s">
        <v>189</v>
      </c>
      <c r="I4" s="234"/>
      <c r="J4" s="237" t="s">
        <v>190</v>
      </c>
      <c r="K4" s="238"/>
      <c r="L4" s="238"/>
      <c r="M4" s="239" t="s">
        <v>191</v>
      </c>
      <c r="N4" s="234"/>
      <c r="O4" s="240" t="s">
        <v>192</v>
      </c>
      <c r="P4" s="241"/>
      <c r="Q4" s="241"/>
      <c r="R4" s="242"/>
      <c r="S4" s="236" t="s">
        <v>193</v>
      </c>
    </row>
    <row r="5" spans="1:19" x14ac:dyDescent="0.25">
      <c r="B5" t="s">
        <v>27</v>
      </c>
      <c r="C5" t="s">
        <v>23</v>
      </c>
      <c r="D5" t="s">
        <v>115</v>
      </c>
      <c r="E5" s="225" t="s">
        <v>25</v>
      </c>
      <c r="F5" s="13" t="s">
        <v>22</v>
      </c>
      <c r="G5" s="225" t="s">
        <v>346</v>
      </c>
      <c r="H5" s="132" t="s">
        <v>343</v>
      </c>
      <c r="I5" s="13" t="s">
        <v>26</v>
      </c>
      <c r="J5" s="228" t="s">
        <v>25</v>
      </c>
      <c r="K5" s="136" t="s">
        <v>22</v>
      </c>
      <c r="L5" s="136" t="s">
        <v>346</v>
      </c>
      <c r="M5" s="231" t="s">
        <v>343</v>
      </c>
      <c r="N5" s="136" t="s">
        <v>26</v>
      </c>
      <c r="O5" s="225" t="s">
        <v>25</v>
      </c>
      <c r="P5" s="13" t="s">
        <v>22</v>
      </c>
      <c r="Q5" s="13" t="s">
        <v>24</v>
      </c>
      <c r="R5" s="225" t="s">
        <v>344</v>
      </c>
      <c r="S5" s="13" t="s">
        <v>26</v>
      </c>
    </row>
    <row r="6" spans="1:19" ht="28.5" x14ac:dyDescent="0.25">
      <c r="A6" s="208" t="s">
        <v>146</v>
      </c>
      <c r="B6" s="12" t="s">
        <v>28</v>
      </c>
      <c r="C6" s="12" t="s">
        <v>30</v>
      </c>
      <c r="D6" s="12">
        <v>12</v>
      </c>
      <c r="E6" s="226"/>
      <c r="F6" s="12"/>
      <c r="G6" s="226"/>
      <c r="H6" s="12"/>
      <c r="I6" s="12"/>
      <c r="J6" s="229">
        <v>8043.75</v>
      </c>
      <c r="K6" s="209">
        <v>8368.75</v>
      </c>
      <c r="L6" s="209">
        <v>16250</v>
      </c>
      <c r="M6" s="229">
        <v>750</v>
      </c>
      <c r="N6" s="209">
        <v>2500</v>
      </c>
      <c r="O6" s="232">
        <f t="shared" ref="O6:Q7" si="0">J6</f>
        <v>8043.75</v>
      </c>
      <c r="P6" s="42">
        <f t="shared" si="0"/>
        <v>8368.75</v>
      </c>
      <c r="Q6" s="42">
        <f t="shared" si="0"/>
        <v>16250</v>
      </c>
      <c r="R6" s="224"/>
      <c r="S6" s="42">
        <f>N6</f>
        <v>2500</v>
      </c>
    </row>
    <row r="7" spans="1:19" ht="29.25" thickBot="1" x14ac:dyDescent="0.3">
      <c r="A7" s="15" t="s">
        <v>149</v>
      </c>
      <c r="B7" t="s">
        <v>36</v>
      </c>
      <c r="C7" t="s">
        <v>158</v>
      </c>
      <c r="D7">
        <v>1</v>
      </c>
      <c r="E7" s="224"/>
      <c r="G7" s="224"/>
      <c r="J7" s="230">
        <v>222223.71599999999</v>
      </c>
      <c r="K7" s="37">
        <v>231202.45199999999</v>
      </c>
      <c r="L7" s="37">
        <v>448936.8</v>
      </c>
      <c r="M7" s="230">
        <v>13813.44</v>
      </c>
      <c r="N7" s="37">
        <v>69067.199999999997</v>
      </c>
      <c r="O7" s="230">
        <f t="shared" si="0"/>
        <v>222223.71599999999</v>
      </c>
      <c r="P7" s="37">
        <f t="shared" si="0"/>
        <v>231202.45199999999</v>
      </c>
      <c r="Q7" s="37">
        <f t="shared" si="0"/>
        <v>448936.8</v>
      </c>
      <c r="R7" s="224"/>
      <c r="S7" s="37">
        <f>N7</f>
        <v>69067.199999999997</v>
      </c>
    </row>
    <row r="8" spans="1:19" ht="16.5" thickBot="1" x14ac:dyDescent="0.3">
      <c r="A8" s="26" t="s">
        <v>39</v>
      </c>
      <c r="B8" t="s">
        <v>195</v>
      </c>
      <c r="C8" t="s">
        <v>348</v>
      </c>
      <c r="E8" s="224"/>
      <c r="G8" s="224"/>
      <c r="I8" s="4">
        <v>27000</v>
      </c>
      <c r="J8" s="224"/>
      <c r="M8" s="224"/>
      <c r="O8" s="224"/>
      <c r="Q8" s="138">
        <f>S8*6.5</f>
        <v>175500</v>
      </c>
      <c r="R8" s="224"/>
      <c r="S8" s="42">
        <f>I8</f>
        <v>27000</v>
      </c>
    </row>
    <row r="9" spans="1:19" x14ac:dyDescent="0.25">
      <c r="A9" s="164" t="s">
        <v>355</v>
      </c>
      <c r="B9" t="s">
        <v>361</v>
      </c>
      <c r="C9" t="s">
        <v>356</v>
      </c>
      <c r="E9" s="224"/>
      <c r="F9" s="4">
        <v>10560</v>
      </c>
      <c r="G9" s="224"/>
      <c r="H9" s="223">
        <v>7920</v>
      </c>
      <c r="I9" s="54">
        <v>52800</v>
      </c>
      <c r="J9" s="224"/>
      <c r="M9" s="224"/>
      <c r="O9" s="224"/>
      <c r="Q9">
        <f>S9*6.5</f>
        <v>343200</v>
      </c>
      <c r="R9" s="224"/>
      <c r="S9">
        <f>I9</f>
        <v>52800</v>
      </c>
    </row>
    <row r="10" spans="1:19" x14ac:dyDescent="0.25">
      <c r="A10" s="167" t="s">
        <v>363</v>
      </c>
      <c r="B10" t="s">
        <v>373</v>
      </c>
      <c r="C10" t="s">
        <v>365</v>
      </c>
      <c r="D10">
        <v>80</v>
      </c>
      <c r="E10" s="227"/>
      <c r="F10" s="4">
        <v>2000</v>
      </c>
      <c r="G10" s="224"/>
      <c r="H10" s="4">
        <v>1200</v>
      </c>
      <c r="I10" s="4">
        <v>2000</v>
      </c>
      <c r="J10" s="224"/>
      <c r="M10" s="224"/>
      <c r="O10" s="224"/>
      <c r="Q10" s="138">
        <f>S10*6.5</f>
        <v>13000</v>
      </c>
      <c r="R10" s="224"/>
      <c r="S10" s="42">
        <f>I10</f>
        <v>2000</v>
      </c>
    </row>
    <row r="11" spans="1:19" x14ac:dyDescent="0.25">
      <c r="A11" s="167" t="s">
        <v>371</v>
      </c>
      <c r="B11" t="s">
        <v>374</v>
      </c>
      <c r="C11" t="s">
        <v>372</v>
      </c>
      <c r="D11">
        <v>4000</v>
      </c>
      <c r="E11" s="227"/>
      <c r="F11" s="4">
        <v>12000</v>
      </c>
      <c r="G11" s="224"/>
      <c r="H11" s="4">
        <v>20000</v>
      </c>
      <c r="I11" s="4">
        <v>40000</v>
      </c>
      <c r="J11" s="224"/>
      <c r="M11" s="224"/>
      <c r="O11" s="224"/>
      <c r="Q11" s="138">
        <f>S11*6.5</f>
        <v>260000</v>
      </c>
      <c r="R11" s="224"/>
      <c r="S11" s="42">
        <f>I11</f>
        <v>40000</v>
      </c>
    </row>
    <row r="12" spans="1:19" x14ac:dyDescent="0.25">
      <c r="E12" s="224"/>
      <c r="G12" s="224"/>
      <c r="J12" s="224"/>
      <c r="M12" s="224"/>
      <c r="O12" s="224"/>
      <c r="Q12" s="37">
        <f>S12*6.5</f>
        <v>1256886.8</v>
      </c>
      <c r="R12" s="233">
        <f>Q12*0.3</f>
        <v>377066.04</v>
      </c>
      <c r="S12" s="42">
        <f>SUM(S6:S11)</f>
        <v>193367.2</v>
      </c>
    </row>
    <row r="13" spans="1:19" x14ac:dyDescent="0.25">
      <c r="H13" s="220" t="s">
        <v>576</v>
      </c>
      <c r="I13" s="8">
        <f>+I9</f>
        <v>52800</v>
      </c>
      <c r="J13" t="s">
        <v>581</v>
      </c>
    </row>
    <row r="18" spans="1:16" x14ac:dyDescent="0.25">
      <c r="K18" s="304"/>
    </row>
    <row r="19" spans="1:16" x14ac:dyDescent="0.25">
      <c r="K19" s="304"/>
      <c r="N19" s="221"/>
      <c r="P19" s="221"/>
    </row>
    <row r="20" spans="1:16" x14ac:dyDescent="0.25">
      <c r="K20" s="304"/>
      <c r="N20" s="221"/>
      <c r="P20" s="221"/>
    </row>
    <row r="21" spans="1:16" ht="35.1" customHeight="1" x14ac:dyDescent="0.25">
      <c r="A21" s="248" t="s">
        <v>336</v>
      </c>
      <c r="B21" s="248"/>
      <c r="C21" s="248"/>
      <c r="D21" s="248"/>
      <c r="E21" s="248"/>
      <c r="F21" s="248"/>
      <c r="G21" s="248"/>
    </row>
    <row r="22" spans="1:16" ht="30" customHeight="1" x14ac:dyDescent="0.25">
      <c r="A22" s="248" t="s">
        <v>338</v>
      </c>
      <c r="B22" s="248"/>
      <c r="C22" s="248"/>
      <c r="D22" s="248"/>
      <c r="E22" s="248"/>
      <c r="F22" s="248"/>
      <c r="G22" s="248"/>
    </row>
    <row r="23" spans="1:16" ht="30" customHeight="1" x14ac:dyDescent="0.25">
      <c r="A23" s="248" t="s">
        <v>480</v>
      </c>
      <c r="B23" s="248"/>
      <c r="C23" s="248"/>
      <c r="D23" s="248"/>
      <c r="E23" s="248"/>
      <c r="F23" s="248"/>
      <c r="G23" s="248"/>
    </row>
    <row r="24" spans="1:16" x14ac:dyDescent="0.25">
      <c r="A24" t="s">
        <v>410</v>
      </c>
    </row>
    <row r="25" spans="1:16" x14ac:dyDescent="0.25">
      <c r="A25" t="s">
        <v>528</v>
      </c>
    </row>
    <row r="26" spans="1:16" x14ac:dyDescent="0.25">
      <c r="A26" t="s">
        <v>411</v>
      </c>
    </row>
    <row r="27" spans="1:16" x14ac:dyDescent="0.25">
      <c r="A27" t="s">
        <v>583</v>
      </c>
    </row>
  </sheetData>
  <mergeCells count="4">
    <mergeCell ref="C1:M1"/>
    <mergeCell ref="A21:G21"/>
    <mergeCell ref="A22:G22"/>
    <mergeCell ref="A23:G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064A3-8DEA-E84B-AFB3-AAB633CCE693}">
  <dimension ref="A1:T40"/>
  <sheetViews>
    <sheetView zoomScaleNormal="100" workbookViewId="0">
      <selection activeCell="G21" sqref="G21"/>
    </sheetView>
  </sheetViews>
  <sheetFormatPr defaultColWidth="11" defaultRowHeight="15.75" x14ac:dyDescent="0.25"/>
  <cols>
    <col min="1" max="1" width="18.625" customWidth="1"/>
    <col min="6" max="6" width="12.5" bestFit="1" customWidth="1"/>
  </cols>
  <sheetData>
    <row r="1" spans="1:20" ht="30" customHeight="1" x14ac:dyDescent="0.25">
      <c r="A1" s="250" t="s">
        <v>512</v>
      </c>
      <c r="B1" s="250"/>
      <c r="C1" s="250"/>
      <c r="D1" s="250"/>
      <c r="E1" s="250"/>
      <c r="F1" s="250"/>
      <c r="G1" s="250"/>
      <c r="H1" s="250"/>
      <c r="I1" s="250"/>
      <c r="J1" s="250"/>
      <c r="K1" s="250"/>
      <c r="L1" s="250"/>
      <c r="M1" s="250"/>
      <c r="N1" s="250"/>
      <c r="O1" s="250"/>
      <c r="P1" s="250"/>
      <c r="Q1" s="250"/>
      <c r="R1" s="250"/>
      <c r="S1" s="250"/>
      <c r="T1" s="250"/>
    </row>
    <row r="3" spans="1:20" ht="31.5" x14ac:dyDescent="0.25">
      <c r="F3" s="244"/>
      <c r="G3" s="244"/>
      <c r="H3" s="244"/>
      <c r="I3" s="132"/>
      <c r="J3" s="53"/>
      <c r="K3" s="243" t="s">
        <v>190</v>
      </c>
      <c r="L3" s="243"/>
      <c r="M3" s="243"/>
      <c r="N3" s="136"/>
      <c r="O3" s="135" t="s">
        <v>191</v>
      </c>
      <c r="P3" s="244" t="s">
        <v>192</v>
      </c>
      <c r="Q3" s="244"/>
      <c r="R3" s="244"/>
      <c r="S3" s="132"/>
      <c r="T3" s="53" t="s">
        <v>193</v>
      </c>
    </row>
    <row r="4" spans="1:20" x14ac:dyDescent="0.25">
      <c r="B4" t="s">
        <v>27</v>
      </c>
      <c r="C4" t="s">
        <v>23</v>
      </c>
      <c r="D4" t="s">
        <v>553</v>
      </c>
      <c r="E4" t="s">
        <v>552</v>
      </c>
      <c r="F4" t="s">
        <v>543</v>
      </c>
      <c r="G4" s="13"/>
      <c r="H4" s="13"/>
      <c r="I4" s="132"/>
      <c r="J4" s="13"/>
      <c r="K4" s="136" t="s">
        <v>25</v>
      </c>
      <c r="L4" s="136" t="s">
        <v>22</v>
      </c>
      <c r="M4" s="136" t="s">
        <v>346</v>
      </c>
      <c r="N4" s="137" t="s">
        <v>343</v>
      </c>
      <c r="O4" s="136" t="s">
        <v>26</v>
      </c>
      <c r="P4" s="13" t="s">
        <v>25</v>
      </c>
      <c r="Q4" s="13" t="s">
        <v>22</v>
      </c>
      <c r="R4" s="13" t="s">
        <v>24</v>
      </c>
      <c r="S4" s="13" t="s">
        <v>344</v>
      </c>
      <c r="T4" s="13" t="s">
        <v>26</v>
      </c>
    </row>
    <row r="5" spans="1:20" x14ac:dyDescent="0.25">
      <c r="A5" t="s">
        <v>540</v>
      </c>
      <c r="B5" t="s">
        <v>28</v>
      </c>
      <c r="C5" t="s">
        <v>542</v>
      </c>
      <c r="D5">
        <v>54191</v>
      </c>
      <c r="E5">
        <v>3000</v>
      </c>
      <c r="F5" s="4">
        <f>D5*E5</f>
        <v>162573000</v>
      </c>
    </row>
    <row r="6" spans="1:20" x14ac:dyDescent="0.25">
      <c r="A6" t="s">
        <v>541</v>
      </c>
      <c r="B6" t="s">
        <v>31</v>
      </c>
      <c r="C6" t="s">
        <v>549</v>
      </c>
      <c r="D6">
        <f>D36</f>
        <v>420000</v>
      </c>
      <c r="E6">
        <v>120</v>
      </c>
      <c r="F6" s="4">
        <f>D6*E6</f>
        <v>50400000</v>
      </c>
    </row>
    <row r="7" spans="1:20" x14ac:dyDescent="0.25">
      <c r="A7" t="s">
        <v>550</v>
      </c>
      <c r="B7" t="s">
        <v>34</v>
      </c>
      <c r="C7" t="s">
        <v>551</v>
      </c>
      <c r="D7">
        <f>D35</f>
        <v>184800</v>
      </c>
      <c r="E7">
        <v>800</v>
      </c>
      <c r="F7" s="4">
        <f>D7*E7</f>
        <v>147840000</v>
      </c>
    </row>
    <row r="8" spans="1:20" x14ac:dyDescent="0.25">
      <c r="A8" t="s">
        <v>38</v>
      </c>
      <c r="B8" t="s">
        <v>36</v>
      </c>
      <c r="C8" t="s">
        <v>453</v>
      </c>
      <c r="D8">
        <v>400</v>
      </c>
      <c r="E8" s="4">
        <v>23000</v>
      </c>
      <c r="F8" s="42">
        <f>D8*E8</f>
        <v>9200000</v>
      </c>
    </row>
    <row r="9" spans="1:20" x14ac:dyDescent="0.25">
      <c r="F9" s="42">
        <f>SUM(F5:F8)</f>
        <v>370013000</v>
      </c>
    </row>
    <row r="23" spans="1:13" x14ac:dyDescent="0.25">
      <c r="A23" s="146" t="s">
        <v>483</v>
      </c>
      <c r="B23" s="146"/>
      <c r="C23" s="146">
        <v>7.2443776399999997</v>
      </c>
      <c r="D23" s="146"/>
      <c r="E23" s="146" t="s">
        <v>539</v>
      </c>
      <c r="F23" s="146"/>
    </row>
    <row r="24" spans="1:13" x14ac:dyDescent="0.25">
      <c r="A24" s="146" t="s">
        <v>494</v>
      </c>
      <c r="B24" s="146"/>
      <c r="C24" s="214">
        <v>77416.09</v>
      </c>
      <c r="D24" s="214"/>
      <c r="E24" s="146"/>
      <c r="F24" s="146"/>
    </row>
    <row r="25" spans="1:13" x14ac:dyDescent="0.25">
      <c r="A25" s="146" t="s">
        <v>495</v>
      </c>
      <c r="B25" s="146"/>
      <c r="C25" s="214">
        <v>193.54</v>
      </c>
      <c r="D25" s="214"/>
      <c r="E25" s="146"/>
      <c r="F25" s="146"/>
    </row>
    <row r="26" spans="1:13" x14ac:dyDescent="0.25">
      <c r="A26" s="146" t="s">
        <v>496</v>
      </c>
      <c r="B26" s="146"/>
      <c r="C26" s="146">
        <v>0.77416087</v>
      </c>
      <c r="D26" s="146"/>
      <c r="E26" s="146"/>
      <c r="F26" s="146"/>
    </row>
    <row r="27" spans="1:13" x14ac:dyDescent="0.25">
      <c r="A27" s="146" t="s">
        <v>497</v>
      </c>
      <c r="B27" s="146"/>
      <c r="C27" s="146">
        <v>7.7</v>
      </c>
      <c r="D27" s="146"/>
      <c r="E27" s="146"/>
      <c r="F27" s="146"/>
    </row>
    <row r="28" spans="1:13" x14ac:dyDescent="0.25">
      <c r="A28" s="146" t="s">
        <v>500</v>
      </c>
      <c r="B28" s="146"/>
      <c r="C28" s="146">
        <v>7</v>
      </c>
      <c r="D28" s="146"/>
      <c r="E28" s="146" t="s">
        <v>501</v>
      </c>
      <c r="F28" s="146"/>
    </row>
    <row r="29" spans="1:13" x14ac:dyDescent="0.25">
      <c r="A29" s="146"/>
      <c r="B29" s="146"/>
      <c r="C29" s="146">
        <v>3</v>
      </c>
      <c r="D29" s="146"/>
      <c r="E29" s="146" t="s">
        <v>137</v>
      </c>
      <c r="F29" s="146"/>
    </row>
    <row r="30" spans="1:13" x14ac:dyDescent="0.25">
      <c r="A30" s="146" t="s">
        <v>554</v>
      </c>
    </row>
    <row r="31" spans="1:13" x14ac:dyDescent="0.25">
      <c r="A31" s="146" t="s">
        <v>547</v>
      </c>
      <c r="B31" s="4" t="s">
        <v>347</v>
      </c>
      <c r="C31">
        <f>100000</f>
        <v>100000</v>
      </c>
      <c r="E31" t="s">
        <v>555</v>
      </c>
      <c r="F31">
        <f>77416</f>
        <v>77416</v>
      </c>
      <c r="G31" t="s">
        <v>556</v>
      </c>
      <c r="I31">
        <f>F31*0.7</f>
        <v>54191.199999999997</v>
      </c>
      <c r="K31" t="s">
        <v>557</v>
      </c>
      <c r="M31" t="s">
        <v>558</v>
      </c>
    </row>
    <row r="34" spans="1:9" x14ac:dyDescent="0.25">
      <c r="A34" t="s">
        <v>559</v>
      </c>
    </row>
    <row r="35" spans="1:9" x14ac:dyDescent="0.25">
      <c r="A35">
        <f>2.64*100000</f>
        <v>264000</v>
      </c>
      <c r="B35" t="s">
        <v>545</v>
      </c>
      <c r="D35">
        <f>A35*0.7</f>
        <v>184800</v>
      </c>
      <c r="G35">
        <v>800</v>
      </c>
      <c r="I35" t="s">
        <v>546</v>
      </c>
    </row>
    <row r="36" spans="1:9" x14ac:dyDescent="0.25">
      <c r="A36">
        <f>6*100000</f>
        <v>600000</v>
      </c>
      <c r="B36" t="s">
        <v>544</v>
      </c>
      <c r="D36">
        <f>A36*0.7</f>
        <v>420000</v>
      </c>
      <c r="G36">
        <v>120</v>
      </c>
      <c r="I36" t="s">
        <v>546</v>
      </c>
    </row>
    <row r="37" spans="1:9" x14ac:dyDescent="0.25">
      <c r="A37" s="215"/>
      <c r="D37">
        <f>SUM(D35:D36)</f>
        <v>604800</v>
      </c>
    </row>
    <row r="38" spans="1:9" x14ac:dyDescent="0.25">
      <c r="A38" s="216" t="s">
        <v>548</v>
      </c>
    </row>
    <row r="40" spans="1:9" x14ac:dyDescent="0.25">
      <c r="E40">
        <f>8.64*100000</f>
        <v>864000</v>
      </c>
    </row>
  </sheetData>
  <mergeCells count="4">
    <mergeCell ref="F3:H3"/>
    <mergeCell ref="K3:M3"/>
    <mergeCell ref="P3:R3"/>
    <mergeCell ref="A1:T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F5E9C-DF43-AD4C-BB21-169D7676AFD2}">
  <dimension ref="A3:E3"/>
  <sheetViews>
    <sheetView workbookViewId="0"/>
  </sheetViews>
  <sheetFormatPr defaultColWidth="11" defaultRowHeight="15.75" x14ac:dyDescent="0.25"/>
  <sheetData>
    <row r="3" spans="1:5" x14ac:dyDescent="0.25">
      <c r="A3" t="s">
        <v>535</v>
      </c>
      <c r="B3" t="s">
        <v>536</v>
      </c>
      <c r="E3">
        <f>450*400</f>
        <v>180000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75ED2-55CB-914A-8609-9D92F3AEBEA3}">
  <dimension ref="A1:K45"/>
  <sheetViews>
    <sheetView zoomScaleNormal="100" workbookViewId="0">
      <selection activeCell="G4" sqref="G4"/>
    </sheetView>
  </sheetViews>
  <sheetFormatPr defaultColWidth="11" defaultRowHeight="15.75" x14ac:dyDescent="0.25"/>
  <cols>
    <col min="1" max="1" width="37.375" customWidth="1"/>
    <col min="2" max="2" width="20" customWidth="1"/>
    <col min="3" max="3" width="24.5" customWidth="1"/>
    <col min="4" max="4" width="18.5" customWidth="1"/>
    <col min="5" max="5" width="21" customWidth="1"/>
  </cols>
  <sheetData>
    <row r="1" spans="1:11" ht="16.5" thickBot="1" x14ac:dyDescent="0.3">
      <c r="D1" s="152" t="s">
        <v>380</v>
      </c>
      <c r="E1" s="13" t="s">
        <v>381</v>
      </c>
      <c r="F1" s="13" t="s">
        <v>343</v>
      </c>
      <c r="G1" s="13" t="s">
        <v>345</v>
      </c>
      <c r="H1" s="148" t="s">
        <v>383</v>
      </c>
      <c r="I1" s="13"/>
      <c r="J1" t="s">
        <v>343</v>
      </c>
      <c r="K1" t="s">
        <v>345</v>
      </c>
    </row>
    <row r="2" spans="1:11" ht="90" x14ac:dyDescent="0.25">
      <c r="A2" s="251" t="s">
        <v>377</v>
      </c>
      <c r="B2" s="258" t="s">
        <v>315</v>
      </c>
      <c r="C2" s="175">
        <f>'CASP+ Beneficiairies (Summary)'!G48</f>
        <v>650000</v>
      </c>
      <c r="D2" s="153" t="s">
        <v>376</v>
      </c>
      <c r="E2" s="153" t="s">
        <v>382</v>
      </c>
      <c r="F2" s="179">
        <f>'CASP+ Beneficiairies (Summary)'!R49</f>
        <v>1175377.45</v>
      </c>
      <c r="G2" s="179">
        <f>'CASP+ Beneficiairies (Summary)'!Q48</f>
        <v>2918425.9</v>
      </c>
      <c r="H2" s="253" t="s">
        <v>384</v>
      </c>
      <c r="I2" s="255" t="s">
        <v>381</v>
      </c>
      <c r="J2" s="154"/>
    </row>
    <row r="3" spans="1:11" ht="16.5" thickBot="1" x14ac:dyDescent="0.3">
      <c r="A3" s="252"/>
      <c r="B3" s="259"/>
      <c r="C3" s="176" t="s">
        <v>418</v>
      </c>
      <c r="H3" s="254"/>
      <c r="I3" s="256"/>
    </row>
    <row r="4" spans="1:11" ht="113.25" thickBot="1" x14ac:dyDescent="0.3">
      <c r="A4" s="252"/>
      <c r="B4" s="258" t="s">
        <v>316</v>
      </c>
      <c r="C4" s="177">
        <f>'CASP+ Beneficiairies (Summary)'!L46</f>
        <v>2268425.9</v>
      </c>
      <c r="H4" s="155" t="s">
        <v>385</v>
      </c>
      <c r="I4" s="156" t="s">
        <v>386</v>
      </c>
      <c r="J4" s="154"/>
    </row>
    <row r="5" spans="1:11" ht="113.25" thickBot="1" x14ac:dyDescent="0.3">
      <c r="A5" s="252"/>
      <c r="B5" s="259"/>
      <c r="C5" s="176" t="s">
        <v>418</v>
      </c>
      <c r="H5" s="155" t="s">
        <v>387</v>
      </c>
      <c r="I5" s="156" t="s">
        <v>388</v>
      </c>
      <c r="J5" s="154"/>
    </row>
    <row r="6" spans="1:11" ht="57" thickBot="1" x14ac:dyDescent="0.3">
      <c r="A6" s="257"/>
      <c r="B6" s="260"/>
      <c r="C6" s="261"/>
      <c r="H6" s="157"/>
      <c r="I6" s="156" t="s">
        <v>389</v>
      </c>
      <c r="J6" s="154"/>
    </row>
    <row r="7" spans="1:11" ht="102" thickBot="1" x14ac:dyDescent="0.3">
      <c r="A7" s="251" t="s">
        <v>378</v>
      </c>
      <c r="B7" s="150" t="s">
        <v>315</v>
      </c>
      <c r="C7" s="149" t="s">
        <v>419</v>
      </c>
      <c r="D7" s="5">
        <f>C2/'Basic Facts'!B2</f>
        <v>6.9788915372887547E-2</v>
      </c>
      <c r="E7" s="5">
        <f>'CASP+ Beneficiairies (Summary)'!F48/'Basic Facts'!B6</f>
        <v>7.08600580004657E-2</v>
      </c>
      <c r="H7" s="155" t="s">
        <v>390</v>
      </c>
      <c r="I7" s="156" t="s">
        <v>391</v>
      </c>
      <c r="J7" s="154"/>
    </row>
    <row r="8" spans="1:11" ht="169.5" thickBot="1" x14ac:dyDescent="0.3">
      <c r="A8" s="252"/>
      <c r="B8" s="150" t="s">
        <v>316</v>
      </c>
      <c r="C8" s="149" t="s">
        <v>379</v>
      </c>
      <c r="D8" s="5">
        <f>'CASP+ Beneficiairies (Summary)'!X49</f>
        <v>0.24355535871502501</v>
      </c>
      <c r="E8" s="5"/>
      <c r="H8" s="155" t="s">
        <v>392</v>
      </c>
      <c r="I8" s="156" t="s">
        <v>393</v>
      </c>
      <c r="J8" s="154"/>
    </row>
    <row r="9" spans="1:11" ht="90.75" thickBot="1" x14ac:dyDescent="0.3">
      <c r="A9" s="147"/>
      <c r="C9" t="s">
        <v>445</v>
      </c>
      <c r="D9">
        <f>'Revised data on 21 districts'!F23</f>
        <v>2778313</v>
      </c>
      <c r="E9">
        <v>650000</v>
      </c>
      <c r="F9" s="5">
        <f>E9/D9</f>
        <v>0.23395492156571271</v>
      </c>
      <c r="H9" s="158" t="s">
        <v>394</v>
      </c>
      <c r="I9" s="159" t="s">
        <v>395</v>
      </c>
    </row>
    <row r="10" spans="1:11" ht="123.75" thickBot="1" x14ac:dyDescent="0.3">
      <c r="H10" s="160" t="s">
        <v>396</v>
      </c>
      <c r="I10" s="161"/>
    </row>
    <row r="45" spans="1:1" x14ac:dyDescent="0.25">
      <c r="A45" s="126"/>
    </row>
  </sheetData>
  <mergeCells count="7">
    <mergeCell ref="A7:A8"/>
    <mergeCell ref="H2:H3"/>
    <mergeCell ref="I2:I3"/>
    <mergeCell ref="A2:A6"/>
    <mergeCell ref="B2:B3"/>
    <mergeCell ref="B4:B5"/>
    <mergeCell ref="B6:C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78B47-2570-2F45-B652-14379EBCEF41}">
  <dimension ref="A3:I4"/>
  <sheetViews>
    <sheetView workbookViewId="0"/>
  </sheetViews>
  <sheetFormatPr defaultColWidth="11" defaultRowHeight="15.75" x14ac:dyDescent="0.25"/>
  <cols>
    <col min="2" max="2" width="11.5" bestFit="1" customWidth="1"/>
    <col min="4" max="4" width="11.5" bestFit="1" customWidth="1"/>
    <col min="6" max="6" width="12.5" bestFit="1" customWidth="1"/>
  </cols>
  <sheetData>
    <row r="3" spans="1:9" ht="63" x14ac:dyDescent="0.25">
      <c r="B3" t="s">
        <v>44</v>
      </c>
      <c r="C3" s="126" t="s">
        <v>424</v>
      </c>
      <c r="D3" s="126" t="s">
        <v>423</v>
      </c>
      <c r="E3" s="126" t="s">
        <v>425</v>
      </c>
      <c r="F3" s="126" t="s">
        <v>426</v>
      </c>
      <c r="G3" s="126" t="s">
        <v>427</v>
      </c>
      <c r="H3" s="126" t="s">
        <v>428</v>
      </c>
      <c r="I3" s="126" t="s">
        <v>429</v>
      </c>
    </row>
    <row r="4" spans="1:9" x14ac:dyDescent="0.25">
      <c r="A4" t="s">
        <v>422</v>
      </c>
      <c r="B4" s="4">
        <v>52000000</v>
      </c>
      <c r="C4">
        <f>0.5</f>
        <v>0.5</v>
      </c>
      <c r="D4" s="42">
        <f>B4*C4</f>
        <v>26000000</v>
      </c>
      <c r="E4" s="183">
        <v>11.384</v>
      </c>
      <c r="F4" s="42">
        <f>E4*D4</f>
        <v>295984000</v>
      </c>
      <c r="G4">
        <v>11600</v>
      </c>
      <c r="H4" s="4">
        <f>G4*12</f>
        <v>139200</v>
      </c>
      <c r="I4" s="37">
        <f>F4/H4</f>
        <v>2126.32183908046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0c9b839-8b53-4ddb-9b24-b96221f2bda6" xsi:nil="true"/>
    <lcf76f155ced4ddcb4097134ff3c332f xmlns="366ae72f-6d51-4737-8f6b-a9169c366b64">
      <Terms xmlns="http://schemas.microsoft.com/office/infopath/2007/PartnerControls"/>
    </lcf76f155ced4ddcb4097134ff3c332f>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B1ED4818-2430-43DE-AF30-9EE98557C96B}"/>
</file>

<file path=customXml/itemProps2.xml><?xml version="1.0" encoding="utf-8"?>
<ds:datastoreItem xmlns:ds="http://schemas.openxmlformats.org/officeDocument/2006/customXml" ds:itemID="{BFB3FD34-F96F-410A-87EA-0538E878F8E0}"/>
</file>

<file path=customXml/itemProps3.xml><?xml version="1.0" encoding="utf-8"?>
<ds:datastoreItem xmlns:ds="http://schemas.openxmlformats.org/officeDocument/2006/customXml" ds:itemID="{A2587357-B4B2-4539-BBA4-FE83C031C37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CASP+ Beneficiairies (Summary)</vt:lpstr>
      <vt:lpstr>Core Indicators IRMF</vt:lpstr>
      <vt:lpstr>CR. 2 SI.2.1</vt:lpstr>
      <vt:lpstr>CR 2. SI 2.2</vt:lpstr>
      <vt:lpstr>CR2 -SI 2.5</vt:lpstr>
      <vt:lpstr>CR 3. </vt:lpstr>
      <vt:lpstr>CR.4</vt:lpstr>
      <vt:lpstr>Outcomes </vt:lpstr>
      <vt:lpstr>Employment generation </vt:lpstr>
      <vt:lpstr>Livestock Information</vt:lpstr>
      <vt:lpstr>Vos in Khatlon</vt:lpstr>
      <vt:lpstr>PUUs</vt:lpstr>
      <vt:lpstr>Forestry Plans</vt:lpstr>
      <vt:lpstr>Basic Facts</vt:lpstr>
      <vt:lpstr>Vllage data</vt:lpstr>
      <vt:lpstr>Revised data on 21 districts</vt:lpstr>
      <vt:lpstr>Benchmarking</vt:lpstr>
      <vt:lpstr>'CASP+ Beneficiairies (Summary)'!_ftn1</vt:lpstr>
      <vt:lpstr>'CASP+ Beneficiairies (Summary)'!_Hlk69457000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Maliha Hamid Hussein</dc:creator>
  <cp:lastModifiedBy>Tommaso Alacevich (CFIE)</cp:lastModifiedBy>
  <dcterms:created xsi:type="dcterms:W3CDTF">2021-04-30T00:17:31Z</dcterms:created>
  <dcterms:modified xsi:type="dcterms:W3CDTF">2024-03-16T17:18:34Z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