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A3FCE531-8990-40C4-94A5-4532AC00C681}" xr6:coauthVersionLast="47" xr6:coauthVersionMax="47" xr10:uidLastSave="{00000000-0000-0000-0000-000000000000}"/>
  <bookViews>
    <workbookView xWindow="-110" yWindow="-110" windowWidth="19420" windowHeight="11500" activeTab="2" xr2:uid="{65C02EF7-8B60-4131-A2D1-C8E05FC9495B}"/>
  </bookViews>
  <sheets>
    <sheet name="Constants, ENPV and BCR" sheetId="2" r:id="rId1"/>
    <sheet name="Break Even Period" sheetId="3" r:id="rId2"/>
    <sheet name="EIRR" sheetId="5" r:id="rId3"/>
    <sheet name="Impact Data DesInventar"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 i="2" l="1"/>
  <c r="E121" i="2"/>
  <c r="E117" i="2"/>
  <c r="A111" i="2"/>
  <c r="G6" i="3"/>
  <c r="G7" i="3" s="1"/>
  <c r="G8" i="3" s="1"/>
  <c r="G9" i="3" s="1"/>
  <c r="G10" i="3" s="1"/>
  <c r="G11" i="3" s="1"/>
  <c r="G12" i="3" s="1"/>
  <c r="G13" i="3" s="1"/>
  <c r="G14" i="3" s="1"/>
  <c r="G15" i="3" s="1"/>
  <c r="G16" i="3" s="1"/>
  <c r="G17" i="3" s="1"/>
  <c r="G18" i="3" s="1"/>
  <c r="G19" i="3" s="1"/>
  <c r="G20" i="3" s="1"/>
  <c r="G21" i="3" s="1"/>
  <c r="G22" i="3" s="1"/>
  <c r="G23" i="3" s="1"/>
  <c r="G24" i="3" s="1"/>
  <c r="G25" i="3" s="1"/>
  <c r="H6" i="3"/>
  <c r="H7" i="3" s="1"/>
  <c r="H8" i="3" s="1"/>
  <c r="H9" i="3" s="1"/>
  <c r="H10" i="3" s="1"/>
  <c r="H11" i="3" s="1"/>
  <c r="H12" i="3" s="1"/>
  <c r="H13" i="3" s="1"/>
  <c r="H14" i="3" s="1"/>
  <c r="H15" i="3" s="1"/>
  <c r="H16" i="3" s="1"/>
  <c r="H17" i="3" s="1"/>
  <c r="H18" i="3" s="1"/>
  <c r="H19" i="3" s="1"/>
  <c r="H20" i="3" s="1"/>
  <c r="H21" i="3" s="1"/>
  <c r="H22" i="3" s="1"/>
  <c r="H23" i="3" s="1"/>
  <c r="H24" i="3" s="1"/>
  <c r="H25" i="3" s="1"/>
  <c r="I6" i="3"/>
  <c r="I7" i="3" s="1"/>
  <c r="I8" i="3" s="1"/>
  <c r="I9" i="3" s="1"/>
  <c r="I10" i="3" s="1"/>
  <c r="I11" i="3" s="1"/>
  <c r="I12" i="3" s="1"/>
  <c r="I13" i="3" s="1"/>
  <c r="I14" i="3" s="1"/>
  <c r="I15" i="3" s="1"/>
  <c r="I16" i="3" s="1"/>
  <c r="I17" i="3" s="1"/>
  <c r="I18" i="3" s="1"/>
  <c r="I19" i="3" s="1"/>
  <c r="I20" i="3" s="1"/>
  <c r="I21" i="3" s="1"/>
  <c r="I22" i="3" s="1"/>
  <c r="I23" i="3" s="1"/>
  <c r="I24" i="3" s="1"/>
  <c r="I25" i="3" s="1"/>
  <c r="I48" i="2"/>
  <c r="I47" i="2"/>
  <c r="H47" i="2"/>
  <c r="G47" i="2"/>
  <c r="F47" i="2"/>
  <c r="E47" i="2"/>
  <c r="D47" i="2"/>
  <c r="C47" i="2"/>
  <c r="C3" i="2"/>
  <c r="I6" i="5"/>
  <c r="I7" i="5"/>
  <c r="I8" i="5"/>
  <c r="I9" i="5"/>
  <c r="I10" i="5"/>
  <c r="I11" i="5"/>
  <c r="I12" i="5"/>
  <c r="I13" i="5"/>
  <c r="I14" i="5"/>
  <c r="I15" i="5"/>
  <c r="I16" i="5"/>
  <c r="I17" i="5"/>
  <c r="I18" i="5"/>
  <c r="I19" i="5"/>
  <c r="I20" i="5"/>
  <c r="I21" i="5"/>
  <c r="I22" i="5"/>
  <c r="I23" i="5"/>
  <c r="I24" i="5"/>
  <c r="I5" i="5"/>
  <c r="H6" i="5"/>
  <c r="H7" i="5"/>
  <c r="H8" i="5"/>
  <c r="H9" i="5"/>
  <c r="H10" i="5"/>
  <c r="H11" i="5"/>
  <c r="H12" i="5"/>
  <c r="H13" i="5"/>
  <c r="H14" i="5"/>
  <c r="H15" i="5"/>
  <c r="H16" i="5"/>
  <c r="H17" i="5"/>
  <c r="H18" i="5"/>
  <c r="H19" i="5"/>
  <c r="H20" i="5"/>
  <c r="H21" i="5"/>
  <c r="H22" i="5"/>
  <c r="H23" i="5"/>
  <c r="H24" i="5"/>
  <c r="H5" i="5"/>
  <c r="G24" i="5"/>
  <c r="G6" i="5"/>
  <c r="G7" i="5"/>
  <c r="G8" i="5"/>
  <c r="G9" i="5"/>
  <c r="G10" i="5"/>
  <c r="G11" i="5"/>
  <c r="G12" i="5"/>
  <c r="G13" i="5"/>
  <c r="G14" i="5"/>
  <c r="G15" i="5"/>
  <c r="G16" i="5"/>
  <c r="G17" i="5"/>
  <c r="G18" i="5"/>
  <c r="G19" i="5"/>
  <c r="G20" i="5"/>
  <c r="G21" i="5"/>
  <c r="G22" i="5"/>
  <c r="G23" i="5"/>
  <c r="G5" i="5"/>
  <c r="B12" i="2"/>
  <c r="B59" i="2"/>
  <c r="B63" i="2"/>
  <c r="H29" i="5" l="1"/>
  <c r="G29" i="5"/>
  <c r="I29" i="5"/>
  <c r="I49" i="2" l="1"/>
  <c r="F26" i="2" l="1"/>
  <c r="B48" i="2"/>
  <c r="C62" i="2"/>
  <c r="F34" i="4"/>
  <c r="F33" i="4"/>
  <c r="G32" i="4"/>
  <c r="G31" i="4"/>
  <c r="G30" i="4"/>
  <c r="G29" i="4"/>
  <c r="G28" i="4"/>
  <c r="G27" i="4"/>
  <c r="G26" i="4"/>
  <c r="G25" i="4"/>
  <c r="G24" i="4"/>
  <c r="G23" i="4"/>
  <c r="G22" i="4"/>
  <c r="G21" i="4"/>
  <c r="D49" i="2"/>
  <c r="C57" i="2" s="1"/>
  <c r="E49" i="2"/>
  <c r="C58" i="2" s="1"/>
  <c r="F49" i="2"/>
  <c r="C59" i="2" s="1"/>
  <c r="G49" i="2"/>
  <c r="C60" i="2" s="1"/>
  <c r="H49" i="2"/>
  <c r="C61" i="2" s="1"/>
  <c r="C49" i="2"/>
  <c r="C56" i="2" s="1"/>
  <c r="D56" i="2" s="1"/>
  <c r="B14" i="2"/>
  <c r="E20" i="2" s="1"/>
  <c r="D57" i="2" l="1"/>
  <c r="B49" i="2"/>
  <c r="B13" i="2"/>
  <c r="E19" i="2" s="1"/>
  <c r="D58" i="2" l="1"/>
  <c r="E18" i="2"/>
  <c r="D20" i="2"/>
  <c r="F20" i="2" s="1"/>
  <c r="D59" i="2" l="1"/>
  <c r="D35" i="2"/>
  <c r="H68" i="2" s="1"/>
  <c r="D42" i="2"/>
  <c r="H75" i="2" s="1"/>
  <c r="D34" i="2"/>
  <c r="H67" i="2" s="1"/>
  <c r="D41" i="2"/>
  <c r="H74" i="2" s="1"/>
  <c r="D33" i="2"/>
  <c r="H66" i="2" s="1"/>
  <c r="D38" i="2"/>
  <c r="H71" i="2" s="1"/>
  <c r="D36" i="2"/>
  <c r="H69" i="2" s="1"/>
  <c r="D40" i="2"/>
  <c r="H73" i="2" s="1"/>
  <c r="D32" i="2"/>
  <c r="H65" i="2" s="1"/>
  <c r="D39" i="2"/>
  <c r="H72" i="2" s="1"/>
  <c r="D31" i="2"/>
  <c r="H64" i="2" s="1"/>
  <c r="H56" i="2"/>
  <c r="D30" i="2"/>
  <c r="H63" i="2" s="1"/>
  <c r="D37" i="2"/>
  <c r="H70" i="2" s="1"/>
  <c r="D19" i="2"/>
  <c r="F19" i="2" s="1"/>
  <c r="D18" i="2"/>
  <c r="F18" i="2" s="1"/>
  <c r="D60" i="2" l="1"/>
  <c r="B37" i="2"/>
  <c r="F70" i="2" s="1"/>
  <c r="B31" i="2"/>
  <c r="F64" i="2" s="1"/>
  <c r="B38" i="2"/>
  <c r="F71" i="2" s="1"/>
  <c r="B36" i="2"/>
  <c r="F69" i="2" s="1"/>
  <c r="B30" i="2"/>
  <c r="F63" i="2" s="1"/>
  <c r="B39" i="2"/>
  <c r="F72" i="2" s="1"/>
  <c r="B33" i="2"/>
  <c r="F66" i="2" s="1"/>
  <c r="B41" i="2"/>
  <c r="F74" i="2" s="1"/>
  <c r="B42" i="2"/>
  <c r="F75" i="2" s="1"/>
  <c r="F56" i="2"/>
  <c r="B32" i="2"/>
  <c r="F65" i="2" s="1"/>
  <c r="B40" i="2"/>
  <c r="F73" i="2" s="1"/>
  <c r="B34" i="2"/>
  <c r="F67" i="2" s="1"/>
  <c r="B35" i="2"/>
  <c r="F68" i="2" s="1"/>
  <c r="G85" i="2"/>
  <c r="C39" i="2"/>
  <c r="G72" i="2" s="1"/>
  <c r="C31" i="2"/>
  <c r="G64" i="2" s="1"/>
  <c r="C38" i="2"/>
  <c r="G71" i="2" s="1"/>
  <c r="C30" i="2"/>
  <c r="G63" i="2" s="1"/>
  <c r="C37" i="2"/>
  <c r="G70" i="2" s="1"/>
  <c r="C42" i="2"/>
  <c r="G75" i="2" s="1"/>
  <c r="C33" i="2"/>
  <c r="G66" i="2" s="1"/>
  <c r="C32" i="2"/>
  <c r="G65" i="2" s="1"/>
  <c r="C36" i="2"/>
  <c r="G69" i="2" s="1"/>
  <c r="C35" i="2"/>
  <c r="G68" i="2" s="1"/>
  <c r="G56" i="2"/>
  <c r="C34" i="2"/>
  <c r="G67" i="2" s="1"/>
  <c r="C41" i="2"/>
  <c r="G74" i="2" s="1"/>
  <c r="C40" i="2"/>
  <c r="G73" i="2" s="1"/>
  <c r="D61" i="2" l="1"/>
  <c r="F85" i="2"/>
  <c r="E85" i="2"/>
  <c r="D25" i="2"/>
  <c r="H57" i="2"/>
  <c r="D62" i="2" l="1"/>
  <c r="G86" i="2"/>
  <c r="C25" i="2"/>
  <c r="G57" i="2"/>
  <c r="D26" i="2"/>
  <c r="H58" i="2"/>
  <c r="G87" i="2" s="1"/>
  <c r="B25" i="2"/>
  <c r="F57" i="2"/>
  <c r="D63" i="2" l="1"/>
  <c r="E92" i="2" s="1"/>
  <c r="F86" i="2"/>
  <c r="E86" i="2"/>
  <c r="D27" i="2"/>
  <c r="H59" i="2"/>
  <c r="B26" i="2"/>
  <c r="F58" i="2"/>
  <c r="E87" i="2" s="1"/>
  <c r="C26" i="2"/>
  <c r="G58" i="2"/>
  <c r="F87" i="2" s="1"/>
  <c r="D64" i="2"/>
  <c r="G92" i="2" l="1"/>
  <c r="F92" i="2"/>
  <c r="G88" i="2"/>
  <c r="B27" i="2"/>
  <c r="F59" i="2"/>
  <c r="C27" i="2"/>
  <c r="G59" i="2"/>
  <c r="F88" i="2" s="1"/>
  <c r="D28" i="2"/>
  <c r="H60" i="2"/>
  <c r="G89" i="2" s="1"/>
  <c r="G93" i="2"/>
  <c r="E93" i="2"/>
  <c r="F93" i="2"/>
  <c r="D65" i="2"/>
  <c r="E88" i="2" l="1"/>
  <c r="C28" i="2"/>
  <c r="G60" i="2"/>
  <c r="H61" i="2"/>
  <c r="D29" i="2"/>
  <c r="H62" i="2" s="1"/>
  <c r="G91" i="2" s="1"/>
  <c r="B28" i="2"/>
  <c r="F60" i="2"/>
  <c r="E89" i="2" s="1"/>
  <c r="G94" i="2"/>
  <c r="F94" i="2"/>
  <c r="E94" i="2"/>
  <c r="D66" i="2"/>
  <c r="F89" i="2" l="1"/>
  <c r="G90" i="2"/>
  <c r="H76" i="2"/>
  <c r="D43" i="2"/>
  <c r="B29" i="2"/>
  <c r="F62" i="2" s="1"/>
  <c r="E91" i="2" s="1"/>
  <c r="F61" i="2"/>
  <c r="E90" i="2" s="1"/>
  <c r="G61" i="2"/>
  <c r="F90" i="2" s="1"/>
  <c r="C29" i="2"/>
  <c r="G62" i="2" s="1"/>
  <c r="F91" i="2" s="1"/>
  <c r="G95" i="2"/>
  <c r="F95" i="2"/>
  <c r="E95" i="2"/>
  <c r="D67" i="2"/>
  <c r="C43" i="2" l="1"/>
  <c r="F76" i="2"/>
  <c r="G76" i="2"/>
  <c r="E96" i="2"/>
  <c r="F96" i="2"/>
  <c r="G96" i="2"/>
  <c r="D68" i="2"/>
  <c r="F97" i="2" l="1"/>
  <c r="G97" i="2"/>
  <c r="E97" i="2"/>
  <c r="D69" i="2"/>
  <c r="F98" i="2" l="1"/>
  <c r="E98" i="2"/>
  <c r="G98" i="2"/>
  <c r="D70" i="2"/>
  <c r="E99" i="2" l="1"/>
  <c r="G99" i="2"/>
  <c r="F99" i="2"/>
  <c r="D71" i="2"/>
  <c r="E100" i="2" l="1"/>
  <c r="G100" i="2"/>
  <c r="F100" i="2"/>
  <c r="D72" i="2"/>
  <c r="E101" i="2" l="1"/>
  <c r="G101" i="2"/>
  <c r="F101" i="2"/>
  <c r="D73" i="2"/>
  <c r="G102" i="2" l="1"/>
  <c r="F102" i="2"/>
  <c r="E102" i="2"/>
  <c r="D74" i="2"/>
  <c r="F103" i="2" l="1"/>
  <c r="G103" i="2"/>
  <c r="E103" i="2"/>
  <c r="D75" i="2"/>
  <c r="E104" i="2" l="1"/>
  <c r="B111" i="2" s="1"/>
  <c r="G104" i="2"/>
  <c r="C119" i="2" s="1"/>
  <c r="F104" i="2"/>
  <c r="D76" i="2"/>
  <c r="C123" i="2"/>
  <c r="A123" i="2"/>
  <c r="B123" i="2"/>
  <c r="B119" i="2" l="1"/>
  <c r="G117" i="2" s="1"/>
  <c r="G121" i="2"/>
  <c r="A119" i="2"/>
  <c r="G113" i="2" s="1"/>
  <c r="G105" i="2"/>
  <c r="E105" i="2"/>
  <c r="C111" i="2"/>
  <c r="E113" i="2"/>
  <c r="B115" i="2"/>
  <c r="F117" i="2" s="1"/>
  <c r="F105" i="2"/>
  <c r="C115" i="2"/>
  <c r="F121" i="2" s="1"/>
  <c r="A115" i="2"/>
  <c r="F113" i="2" s="1"/>
  <c r="B43" i="2"/>
</calcChain>
</file>

<file path=xl/sharedStrings.xml><?xml version="1.0" encoding="utf-8"?>
<sst xmlns="http://schemas.openxmlformats.org/spreadsheetml/2006/main" count="185" uniqueCount="115">
  <si>
    <t>#</t>
  </si>
  <si>
    <t>Benefits from Cost Avoidance Primary Estimation</t>
  </si>
  <si>
    <t>Benefits from Increased Productivity</t>
  </si>
  <si>
    <t>Sector to GDP Ratio</t>
  </si>
  <si>
    <r>
      <t xml:space="preserve">Agriculture </t>
    </r>
    <r>
      <rPr>
        <b/>
        <sz val="12"/>
        <color theme="1"/>
        <rFont val="Arial"/>
        <family val="2"/>
      </rPr>
      <t>19%</t>
    </r>
  </si>
  <si>
    <r>
      <t xml:space="preserve">Trade, Transport, Accommodation and Food Service (Thus including Tourism and Travel </t>
    </r>
    <r>
      <rPr>
        <b/>
        <sz val="12"/>
        <color theme="1"/>
        <rFont val="Arial"/>
        <family val="2"/>
      </rPr>
      <t>10%)</t>
    </r>
  </si>
  <si>
    <t xml:space="preserve">Source: https://www.instat.gov.al/en/statistical-literacy/gross-domestic-product/ </t>
  </si>
  <si>
    <r>
      <t xml:space="preserve">Conservative thinking not to completely involve industry and construction (Under industry it would fall also the Energy Sector in total </t>
    </r>
    <r>
      <rPr>
        <b/>
        <sz val="12"/>
        <color theme="1"/>
        <rFont val="Arial"/>
        <family val="2"/>
      </rPr>
      <t xml:space="preserve">12%) </t>
    </r>
  </si>
  <si>
    <t>Total</t>
  </si>
  <si>
    <r>
      <t xml:space="preserve">Smallest Hallegatte % for increased productivity </t>
    </r>
    <r>
      <rPr>
        <b/>
        <sz val="12"/>
        <color theme="1"/>
        <rFont val="Arial"/>
        <family val="2"/>
      </rPr>
      <t>0.1%</t>
    </r>
  </si>
  <si>
    <r>
      <t xml:space="preserve">Biggest Hallegatte % for increased productivity </t>
    </r>
    <r>
      <rPr>
        <b/>
        <sz val="12"/>
        <color theme="1"/>
        <rFont val="Arial"/>
        <family val="2"/>
      </rPr>
      <t>1%</t>
    </r>
  </si>
  <si>
    <t xml:space="preserve">We will run the model based on 3 scenarios </t>
  </si>
  <si>
    <t>%</t>
  </si>
  <si>
    <t>Avoidance Cost Benefits</t>
  </si>
  <si>
    <t>Avoided Yearly Costs (Benefits)</t>
  </si>
  <si>
    <t>Increased Productivity Benefits</t>
  </si>
  <si>
    <t>Optimistic</t>
  </si>
  <si>
    <t xml:space="preserve"> Point of constant Benefit achieved</t>
  </si>
  <si>
    <t>Cost Disbursement of the Project</t>
  </si>
  <si>
    <t>Total Investment</t>
  </si>
  <si>
    <t>Yearly Benefits</t>
  </si>
  <si>
    <t>Year</t>
  </si>
  <si>
    <t>Yearly Operationalization Cost</t>
  </si>
  <si>
    <t>Rough Estimate of the operationalization cost per year</t>
  </si>
  <si>
    <t>Benefit-Cost Ratio (BCR)</t>
  </si>
  <si>
    <t>Yearly Costs</t>
  </si>
  <si>
    <t>Region</t>
  </si>
  <si>
    <t xml:space="preserve"> Deaths</t>
  </si>
  <si>
    <t xml:space="preserve"> Injured</t>
  </si>
  <si>
    <t xml:space="preserve"> Houses Destroyed</t>
  </si>
  <si>
    <t xml:space="preserve"> Houses Damaged</t>
  </si>
  <si>
    <t xml:space="preserve"> Evacuated</t>
  </si>
  <si>
    <t xml:space="preserve"> Education centers</t>
  </si>
  <si>
    <t xml:space="preserve"> Hospitals</t>
  </si>
  <si>
    <t>Berat</t>
  </si>
  <si>
    <t>Dibër</t>
  </si>
  <si>
    <t>Durrës</t>
  </si>
  <si>
    <t>Elbasan</t>
  </si>
  <si>
    <t>Fier</t>
  </si>
  <si>
    <t>Gjirokastër</t>
  </si>
  <si>
    <t>Korçë</t>
  </si>
  <si>
    <t>Kukës</t>
  </si>
  <si>
    <t>Lezhë</t>
  </si>
  <si>
    <t>Shkodër</t>
  </si>
  <si>
    <t>Tiranë</t>
  </si>
  <si>
    <t>Vlorë</t>
  </si>
  <si>
    <t xml:space="preserve"> Damages in crops Ha.</t>
  </si>
  <si>
    <t>Simplified/10,000</t>
  </si>
  <si>
    <t>Source: https://www.desinventar.net/DesInventar/profiletab.jsp?countrycode=alb&amp;continue=y</t>
  </si>
  <si>
    <t xml:space="preserve">Total </t>
  </si>
  <si>
    <t>1 euro =ALL</t>
  </si>
  <si>
    <t>-</t>
  </si>
  <si>
    <t xml:space="preserve"> Losses  Local Currency </t>
  </si>
  <si>
    <t>Total in EUR</t>
  </si>
  <si>
    <t>Simplification with the purpose of developing harmonized values in the development of the charts that visualize the asset impact in comparisson to lives lost</t>
  </si>
  <si>
    <t>Conservative</t>
  </si>
  <si>
    <t>Central</t>
  </si>
  <si>
    <t>Central Scenario</t>
  </si>
  <si>
    <t>Optimistic Scenario</t>
  </si>
  <si>
    <r>
      <t xml:space="preserve">Period between 1981-2020 (39 years extrapolated for </t>
    </r>
    <r>
      <rPr>
        <b/>
        <sz val="12"/>
        <color theme="1"/>
        <rFont val="Arial"/>
        <family val="2"/>
      </rPr>
      <t>US$ 802 million</t>
    </r>
    <r>
      <rPr>
        <sz val="12"/>
        <color theme="1"/>
        <rFont val="Arial"/>
        <family val="2"/>
      </rPr>
      <t xml:space="preserve"> to EUR)</t>
    </r>
  </si>
  <si>
    <t xml:space="preserve">Conversion rate as per 10.01.2024 </t>
  </si>
  <si>
    <r>
      <rPr>
        <sz val="12"/>
        <color theme="1"/>
        <rFont val="Arial"/>
        <family val="2"/>
      </rPr>
      <t xml:space="preserve">Per </t>
    </r>
    <r>
      <rPr>
        <b/>
        <sz val="12"/>
        <color theme="1"/>
        <rFont val="Arial"/>
        <family val="2"/>
      </rPr>
      <t>GDP share of Albania climate-sensitive sectors</t>
    </r>
    <r>
      <rPr>
        <sz val="12"/>
        <color theme="1"/>
        <rFont val="Arial"/>
        <family val="2"/>
      </rPr>
      <t xml:space="preserve"> in EUR</t>
    </r>
  </si>
  <si>
    <t>Total after 20 years</t>
  </si>
  <si>
    <r>
      <t xml:space="preserve">Losses from Flood-related hazards based on the NAP of Albania in the last </t>
    </r>
    <r>
      <rPr>
        <b/>
        <sz val="12"/>
        <color theme="1"/>
        <rFont val="Arial"/>
        <family val="2"/>
      </rPr>
      <t>33 years</t>
    </r>
    <r>
      <rPr>
        <sz val="12"/>
        <color theme="1"/>
        <rFont val="Arial"/>
        <family val="2"/>
      </rPr>
      <t xml:space="preserve"> amounting to </t>
    </r>
    <r>
      <rPr>
        <b/>
        <sz val="12"/>
        <color theme="1"/>
        <rFont val="Arial"/>
        <family val="2"/>
      </rPr>
      <t xml:space="preserve">EUR 1,198,875,563, </t>
    </r>
    <r>
      <rPr>
        <sz val="12"/>
        <color theme="1"/>
        <rFont val="Arial"/>
        <family val="2"/>
      </rPr>
      <t>thus</t>
    </r>
    <r>
      <rPr>
        <b/>
        <sz val="12"/>
        <color theme="1"/>
        <rFont val="Arial"/>
        <family val="2"/>
      </rPr>
      <t xml:space="preserve"> EUR 36,329,562.51 </t>
    </r>
    <r>
      <rPr>
        <sz val="12"/>
        <color theme="1"/>
        <rFont val="Arial"/>
        <family val="2"/>
      </rPr>
      <t>per year</t>
    </r>
  </si>
  <si>
    <t>Total yearly in the 7th year</t>
  </si>
  <si>
    <r>
      <t xml:space="preserve">The cost of operationalization of a NMHS and EWS based on previous data from IGEO. The information provided by IGEO and NCPA suggested a yearly average of </t>
    </r>
    <r>
      <rPr>
        <b/>
        <sz val="12"/>
        <color theme="1"/>
        <rFont val="Arial"/>
        <family val="2"/>
      </rPr>
      <t>EUR 700,000</t>
    </r>
    <r>
      <rPr>
        <sz val="12"/>
        <color theme="1"/>
        <rFont val="Arial"/>
        <family val="2"/>
      </rPr>
      <t xml:space="preserve"> for Personnel and Network supervision combined with </t>
    </r>
    <r>
      <rPr>
        <b/>
        <sz val="12"/>
        <color theme="1"/>
        <rFont val="Arial"/>
        <family val="2"/>
      </rPr>
      <t>EUR 300,000</t>
    </r>
    <r>
      <rPr>
        <sz val="12"/>
        <color theme="1"/>
        <rFont val="Arial"/>
        <family val="2"/>
      </rPr>
      <t xml:space="preserve"> to operationalize , provide materials and supply, equipment, repairs and additional miscellaneous costs (Approximation total  </t>
    </r>
    <r>
      <rPr>
        <b/>
        <sz val="12"/>
        <color theme="1"/>
        <rFont val="Arial"/>
        <family val="2"/>
      </rPr>
      <t>EUR 1,000,000</t>
    </r>
    <r>
      <rPr>
        <sz val="12"/>
        <color theme="1"/>
        <rFont val="Arial"/>
        <family val="2"/>
      </rPr>
      <t>)</t>
    </r>
  </si>
  <si>
    <t>Based on Tammelin (2008) for 1979 to 2006 with conversion rate from USD to EUR for US$  24 million yearly)</t>
  </si>
  <si>
    <t>Conservative Scenario</t>
  </si>
  <si>
    <t>Benefits Yearly Scenario</t>
  </si>
  <si>
    <t>Albania GDP as per 2023</t>
  </si>
  <si>
    <t xml:space="preserve">                The implementation period of the ALBAdapt project is six years (72 months). This is expected to span seven calendar years.</t>
  </si>
  <si>
    <t>Total Benefits 3 Scenarios for 20 Calendar Years</t>
  </si>
  <si>
    <t>Calendar Year 1</t>
  </si>
  <si>
    <t>Calenadr Year 2</t>
  </si>
  <si>
    <t>Calendar Year 3</t>
  </si>
  <si>
    <t>Calendar Year 4</t>
  </si>
  <si>
    <t>Calendar Year 5</t>
  </si>
  <si>
    <t>Calendar Year 6</t>
  </si>
  <si>
    <t>Calendar Year 7</t>
  </si>
  <si>
    <t>Total Costs for 20 Calendar Years</t>
  </si>
  <si>
    <t>Calendar Year</t>
  </si>
  <si>
    <t xml:space="preserve">Total Disbursement for the 3 Components </t>
  </si>
  <si>
    <t>Total Disbursement PME, PMC and GCF Contingency</t>
  </si>
  <si>
    <t>Yearly losses (Average harmonization and conversion from USD to EUR) (Accounting for deduction of taxes)</t>
  </si>
  <si>
    <t>With 10% of losses (on EUR 20,537,994.52 )</t>
  </si>
  <si>
    <t>With 20% of losses (on EUR 20,537,994.52)</t>
  </si>
  <si>
    <t>With 50% of losses avoided (on EUR 20,537,994.52)</t>
  </si>
  <si>
    <t>Cost of operationalization will start in calendar year 4 of the project implementation, as it is assumed that the deployment of the infrastructure and the agency in charge of the NMHS will be operational and staffed by then. Additionally, the infrastructure of both NMHS and EWS, including the needed staff, will be reflected through the incremental increase in year 5, year 6 and concluded in year 7. The display of the OPEX has been provided by the current entity in charge in Albania that deals with the hydrometeorological information.</t>
  </si>
  <si>
    <r>
      <rPr>
        <sz val="10"/>
        <color theme="1"/>
        <rFont val="Arial"/>
        <family val="2"/>
      </rPr>
      <t xml:space="preserve">For </t>
    </r>
    <r>
      <rPr>
        <b/>
        <sz val="10"/>
        <color theme="1"/>
        <rFont val="Arial"/>
        <family val="2"/>
      </rPr>
      <t xml:space="preserve">7 calendar years, </t>
    </r>
    <r>
      <rPr>
        <sz val="10"/>
        <color theme="1"/>
        <rFont val="Arial"/>
        <family val="2"/>
      </rPr>
      <t>an</t>
    </r>
    <r>
      <rPr>
        <b/>
        <sz val="10"/>
        <color theme="1"/>
        <rFont val="Arial"/>
        <family val="2"/>
      </rPr>
      <t xml:space="preserve"> incremental constant </t>
    </r>
    <r>
      <rPr>
        <sz val="10"/>
        <color theme="1"/>
        <rFont val="Arial"/>
        <family val="2"/>
      </rPr>
      <t xml:space="preserve">will be applied </t>
    </r>
    <r>
      <rPr>
        <b/>
        <sz val="10"/>
        <color theme="1"/>
        <rFont val="Arial"/>
        <family val="2"/>
      </rPr>
      <t>with the 2 first years 0 followed by a 20% margin increase</t>
    </r>
  </si>
  <si>
    <t>ENPV for 3 Scenarios with the respective Discount Rates</t>
  </si>
  <si>
    <t>Yearly Cost</t>
  </si>
  <si>
    <t>Yearly Benefit</t>
  </si>
  <si>
    <t>EIRR</t>
  </si>
  <si>
    <t>Total Costs for the ENPV Analysis</t>
  </si>
  <si>
    <t>ENPV of Costs</t>
  </si>
  <si>
    <t>Investment Cost</t>
  </si>
  <si>
    <t xml:space="preserve">Yearly operationalization and maintenance cost will start from 0 in the first 3 years and including from year 8-20 will be a constant EUR 1 million </t>
  </si>
  <si>
    <t xml:space="preserve">Central Scenario </t>
  </si>
  <si>
    <t>Yearly Results (Benefits-Costs)</t>
  </si>
  <si>
    <t xml:space="preserve">Conservative Benefit </t>
  </si>
  <si>
    <t>Central Benefit</t>
  </si>
  <si>
    <t xml:space="preserve">Optimistic Benefit </t>
  </si>
  <si>
    <t>SDR</t>
  </si>
  <si>
    <t>Break Event Period</t>
  </si>
  <si>
    <t>Break Even Period</t>
  </si>
  <si>
    <t xml:space="preserve">Conservative Scenario </t>
  </si>
  <si>
    <t xml:space="preserve">Optimistic  Scenario </t>
  </si>
  <si>
    <t>ENPV for 0% SDR</t>
  </si>
  <si>
    <t>ENPV for 5% SDR</t>
  </si>
  <si>
    <t>ENPV for 10% SDR</t>
  </si>
  <si>
    <t>BCR 0% SDR</t>
  </si>
  <si>
    <t>BCR  5% SDR</t>
  </si>
  <si>
    <t>BCR  10% SDR</t>
  </si>
  <si>
    <t>Yearly Benefits-Costs</t>
  </si>
  <si>
    <t>Investment (Initial costs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</si>
</sst>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2]\ * #,##0.00_);_([$€-2]\ * \(#,##0.00\);_([$€-2]\ * &quot;-&quot;??_);_(@_)"/>
    <numFmt numFmtId="168" formatCode="0.000%"/>
    <numFmt numFmtId="169" formatCode="_([$€-2]\ * #,##0.0_);_([$€-2]\ * \(#,##0.0\);_([$€-2]\ *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20"/>
      <color theme="1"/>
      <name val="Calibri"/>
      <family val="2"/>
      <scheme val="minor"/>
    </font>
    <font>
      <b/>
      <sz val="12"/>
      <color theme="1"/>
      <name val="Arial"/>
      <family val="2"/>
    </font>
    <font>
      <sz val="12"/>
      <color theme="1"/>
      <name val="Arial"/>
      <family val="2"/>
    </font>
    <font>
      <b/>
      <sz val="20"/>
      <color theme="1"/>
      <name val="Arial"/>
      <family val="2"/>
    </font>
    <font>
      <sz val="11"/>
      <color theme="1"/>
      <name val="Arial"/>
      <family val="2"/>
    </font>
    <font>
      <b/>
      <sz val="10"/>
      <name val="Arial"/>
      <family val="2"/>
    </font>
    <font>
      <sz val="10"/>
      <name val="Arial"/>
      <family val="2"/>
    </font>
    <font>
      <b/>
      <sz val="11"/>
      <color theme="1"/>
      <name val="Arial"/>
      <family val="2"/>
    </font>
    <font>
      <b/>
      <sz val="10"/>
      <color theme="1"/>
      <name val="Arial"/>
      <family val="2"/>
    </font>
    <font>
      <sz val="10"/>
      <color theme="1"/>
      <name val="Arial"/>
      <family val="2"/>
    </font>
    <font>
      <i/>
      <sz val="16"/>
      <color theme="1"/>
      <name val="Arial"/>
      <family val="2"/>
    </font>
    <font>
      <i/>
      <sz val="11"/>
      <color theme="1"/>
      <name val="Arial"/>
      <family val="2"/>
    </font>
    <font>
      <b/>
      <sz val="16"/>
      <color theme="1"/>
      <name val="Calibri"/>
      <family val="2"/>
      <scheme val="minor"/>
    </font>
    <font>
      <i/>
      <sz val="12"/>
      <color theme="1"/>
      <name val="Arial"/>
      <family val="2"/>
    </font>
  </fonts>
  <fills count="18">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0" tint="-0.14999847407452621"/>
        <bgColor indexed="64"/>
      </patternFill>
    </fill>
  </fills>
  <borders count="4">
    <border>
      <left/>
      <right/>
      <top/>
      <bottom/>
      <diagonal/>
    </border>
    <border>
      <left style="medium">
        <color rgb="FFCCCCCC"/>
      </left>
      <right style="medium">
        <color rgb="FFCCCCCC"/>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124">
    <xf numFmtId="0" fontId="0" fillId="0" borderId="0" xfId="0"/>
    <xf numFmtId="0" fontId="2" fillId="2" borderId="0" xfId="0" applyFont="1" applyFill="1" applyAlignment="1">
      <alignment horizontal="right"/>
    </xf>
    <xf numFmtId="0" fontId="0" fillId="10" borderId="0" xfId="0" applyFill="1" applyAlignment="1">
      <alignment horizontal="right"/>
    </xf>
    <xf numFmtId="0" fontId="2" fillId="9" borderId="0" xfId="0" applyFont="1" applyFill="1" applyAlignment="1">
      <alignment horizontal="right" wrapText="1"/>
    </xf>
    <xf numFmtId="0" fontId="0" fillId="11" borderId="0" xfId="0" applyFill="1"/>
    <xf numFmtId="0" fontId="4" fillId="2" borderId="0" xfId="0" applyFont="1" applyFill="1"/>
    <xf numFmtId="0" fontId="5" fillId="2" borderId="1" xfId="0" applyFont="1" applyFill="1" applyBorder="1" applyAlignment="1">
      <alignment horizontal="right" wrapText="1"/>
    </xf>
    <xf numFmtId="0" fontId="2" fillId="9" borderId="0" xfId="0" applyFont="1" applyFill="1" applyAlignment="1">
      <alignment horizontal="right"/>
    </xf>
    <xf numFmtId="0" fontId="2" fillId="11" borderId="0" xfId="0" applyFont="1" applyFill="1"/>
    <xf numFmtId="0" fontId="7" fillId="2" borderId="0" xfId="0" applyFont="1" applyFill="1" applyAlignment="1">
      <alignment wrapText="1"/>
    </xf>
    <xf numFmtId="0" fontId="6" fillId="2" borderId="0" xfId="0" applyFont="1" applyFill="1"/>
    <xf numFmtId="0" fontId="6" fillId="2" borderId="0" xfId="0" applyFont="1" applyFill="1" applyAlignment="1">
      <alignment wrapText="1"/>
    </xf>
    <xf numFmtId="0" fontId="6" fillId="2" borderId="0" xfId="0" applyFont="1" applyFill="1" applyAlignment="1">
      <alignment horizontal="right"/>
    </xf>
    <xf numFmtId="0" fontId="6" fillId="0" borderId="0" xfId="0" applyFont="1"/>
    <xf numFmtId="0" fontId="8" fillId="0" borderId="0" xfId="0" applyFont="1"/>
    <xf numFmtId="0" fontId="5" fillId="2" borderId="0" xfId="0" applyFont="1" applyFill="1" applyAlignment="1">
      <alignment horizontal="center" wrapText="1"/>
    </xf>
    <xf numFmtId="0" fontId="8" fillId="2" borderId="0" xfId="0" applyFont="1" applyFill="1"/>
    <xf numFmtId="0" fontId="7" fillId="2" borderId="0" xfId="0" applyFont="1" applyFill="1" applyAlignment="1">
      <alignment horizontal="right"/>
    </xf>
    <xf numFmtId="0" fontId="6" fillId="2" borderId="0" xfId="0" applyFont="1" applyFill="1" applyAlignment="1">
      <alignment horizontal="right" wrapText="1"/>
    </xf>
    <xf numFmtId="0" fontId="5" fillId="2" borderId="0" xfId="0" applyFont="1" applyFill="1"/>
    <xf numFmtId="9" fontId="5" fillId="2" borderId="0" xfId="0" applyNumberFormat="1" applyFont="1" applyFill="1"/>
    <xf numFmtId="0" fontId="5" fillId="2" borderId="0" xfId="0" applyFont="1" applyFill="1" applyAlignment="1">
      <alignment horizontal="right"/>
    </xf>
    <xf numFmtId="10" fontId="5" fillId="2" borderId="0" xfId="0" applyNumberFormat="1" applyFont="1" applyFill="1"/>
    <xf numFmtId="0" fontId="5" fillId="0" borderId="0" xfId="0" applyFont="1"/>
    <xf numFmtId="0" fontId="7" fillId="2" borderId="0" xfId="0" applyFont="1" applyFill="1" applyAlignment="1">
      <alignment horizontal="left"/>
    </xf>
    <xf numFmtId="0" fontId="5" fillId="2" borderId="0" xfId="3" applyNumberFormat="1" applyFont="1" applyFill="1"/>
    <xf numFmtId="16" fontId="6" fillId="0" borderId="0" xfId="0" applyNumberFormat="1" applyFont="1"/>
    <xf numFmtId="0" fontId="7" fillId="2" borderId="0" xfId="0" applyFont="1" applyFill="1" applyAlignment="1">
      <alignment horizontal="left" wrapText="1"/>
    </xf>
    <xf numFmtId="0" fontId="5" fillId="3" borderId="0" xfId="0" applyFont="1" applyFill="1"/>
    <xf numFmtId="0" fontId="6" fillId="3" borderId="0" xfId="0" applyFont="1" applyFill="1"/>
    <xf numFmtId="0" fontId="7" fillId="7" borderId="0" xfId="0" applyFont="1" applyFill="1" applyAlignment="1">
      <alignment wrapText="1"/>
    </xf>
    <xf numFmtId="0" fontId="6" fillId="7" borderId="0" xfId="0" applyFont="1" applyFill="1"/>
    <xf numFmtId="0" fontId="8" fillId="7" borderId="0" xfId="0" applyFont="1" applyFill="1"/>
    <xf numFmtId="0" fontId="6" fillId="7" borderId="0" xfId="0" applyFont="1" applyFill="1" applyAlignment="1">
      <alignment horizontal="right"/>
    </xf>
    <xf numFmtId="0" fontId="7" fillId="7" borderId="0" xfId="0" applyFont="1" applyFill="1" applyAlignment="1">
      <alignment horizontal="left"/>
    </xf>
    <xf numFmtId="0" fontId="6" fillId="6" borderId="0" xfId="0" applyFont="1" applyFill="1"/>
    <xf numFmtId="0" fontId="5" fillId="6" borderId="0" xfId="0" applyFont="1" applyFill="1" applyAlignment="1">
      <alignment horizontal="center"/>
    </xf>
    <xf numFmtId="0" fontId="5" fillId="7" borderId="0" xfId="0" applyFont="1" applyFill="1"/>
    <xf numFmtId="0" fontId="5" fillId="7" borderId="0" xfId="0" applyFont="1" applyFill="1" applyAlignment="1">
      <alignment horizontal="right"/>
    </xf>
    <xf numFmtId="0" fontId="5" fillId="6" borderId="0" xfId="0" applyFont="1" applyFill="1" applyAlignment="1">
      <alignment wrapText="1"/>
    </xf>
    <xf numFmtId="0" fontId="5" fillId="4" borderId="0" xfId="0" applyFont="1" applyFill="1"/>
    <xf numFmtId="0" fontId="7" fillId="5" borderId="0" xfId="0" applyFont="1" applyFill="1" applyAlignment="1">
      <alignment horizontal="left"/>
    </xf>
    <xf numFmtId="0" fontId="6" fillId="5" borderId="0" xfId="0" applyFont="1" applyFill="1" applyAlignment="1">
      <alignment horizontal="right"/>
    </xf>
    <xf numFmtId="0" fontId="8" fillId="5" borderId="0" xfId="0" applyFont="1" applyFill="1"/>
    <xf numFmtId="0" fontId="5" fillId="5" borderId="0" xfId="0" applyFont="1" applyFill="1" applyAlignment="1">
      <alignment horizontal="right"/>
    </xf>
    <xf numFmtId="0" fontId="7" fillId="5" borderId="0" xfId="0" applyFont="1" applyFill="1" applyAlignment="1">
      <alignment wrapText="1"/>
    </xf>
    <xf numFmtId="0" fontId="7" fillId="12" borderId="0" xfId="0" applyFont="1" applyFill="1"/>
    <xf numFmtId="0" fontId="6" fillId="12" borderId="0" xfId="0" applyFont="1" applyFill="1" applyAlignment="1">
      <alignment horizontal="right" wrapText="1"/>
    </xf>
    <xf numFmtId="0" fontId="6" fillId="8" borderId="0" xfId="0" applyFont="1" applyFill="1" applyAlignment="1">
      <alignment horizontal="right"/>
    </xf>
    <xf numFmtId="0" fontId="6" fillId="12" borderId="0" xfId="0" applyFont="1" applyFill="1" applyAlignment="1">
      <alignment horizontal="right"/>
    </xf>
    <xf numFmtId="0" fontId="5" fillId="12" borderId="0" xfId="0" applyFont="1" applyFill="1" applyAlignment="1">
      <alignment horizontal="right"/>
    </xf>
    <xf numFmtId="0" fontId="5" fillId="8" borderId="0" xfId="0" applyFont="1" applyFill="1" applyAlignment="1">
      <alignment horizontal="right"/>
    </xf>
    <xf numFmtId="9" fontId="6" fillId="7" borderId="0" xfId="0" applyNumberFormat="1" applyFont="1" applyFill="1"/>
    <xf numFmtId="0" fontId="9" fillId="0" borderId="2" xfId="0" applyFont="1" applyBorder="1"/>
    <xf numFmtId="0" fontId="10" fillId="0" borderId="0" xfId="0" applyFont="1"/>
    <xf numFmtId="1" fontId="0" fillId="0" borderId="0" xfId="1" applyNumberFormat="1" applyFont="1"/>
    <xf numFmtId="0" fontId="9" fillId="0" borderId="2" xfId="0" applyFont="1" applyBorder="1" applyAlignment="1">
      <alignment wrapText="1"/>
    </xf>
    <xf numFmtId="0" fontId="9" fillId="0" borderId="0" xfId="0" applyFont="1"/>
    <xf numFmtId="165" fontId="0" fillId="0" borderId="0" xfId="1" applyFont="1"/>
    <xf numFmtId="0" fontId="0" fillId="0" borderId="0" xfId="0" applyAlignment="1">
      <alignment horizontal="right"/>
    </xf>
    <xf numFmtId="167" fontId="0" fillId="0" borderId="0" xfId="0" applyNumberFormat="1"/>
    <xf numFmtId="0" fontId="5" fillId="4" borderId="0" xfId="0" applyFont="1" applyFill="1" applyAlignment="1">
      <alignment horizontal="center" wrapText="1"/>
    </xf>
    <xf numFmtId="0" fontId="6" fillId="3" borderId="0" xfId="0" applyFont="1" applyFill="1" applyAlignment="1">
      <alignment wrapText="1"/>
    </xf>
    <xf numFmtId="0" fontId="2" fillId="2" borderId="0" xfId="0" applyFont="1" applyFill="1" applyAlignment="1">
      <alignment horizontal="center" wrapText="1"/>
    </xf>
    <xf numFmtId="167" fontId="5" fillId="2" borderId="0" xfId="1" applyNumberFormat="1" applyFont="1" applyFill="1"/>
    <xf numFmtId="167" fontId="5" fillId="2" borderId="0" xfId="2" applyNumberFormat="1" applyFont="1" applyFill="1"/>
    <xf numFmtId="167" fontId="5" fillId="2" borderId="0" xfId="0" applyNumberFormat="1" applyFont="1" applyFill="1"/>
    <xf numFmtId="167" fontId="6" fillId="6" borderId="0" xfId="2" applyNumberFormat="1" applyFont="1" applyFill="1"/>
    <xf numFmtId="167" fontId="6" fillId="2" borderId="0" xfId="0" applyNumberFormat="1" applyFont="1" applyFill="1"/>
    <xf numFmtId="167" fontId="5" fillId="3" borderId="0" xfId="0" applyNumberFormat="1" applyFont="1" applyFill="1"/>
    <xf numFmtId="167" fontId="5" fillId="6" borderId="0" xfId="0" applyNumberFormat="1" applyFont="1" applyFill="1"/>
    <xf numFmtId="0" fontId="5" fillId="2" borderId="0" xfId="0" applyFont="1" applyFill="1" applyAlignment="1">
      <alignment horizontal="left" wrapText="1"/>
    </xf>
    <xf numFmtId="166" fontId="6" fillId="2" borderId="0" xfId="0" applyNumberFormat="1" applyFont="1" applyFill="1" applyAlignment="1">
      <alignment horizontal="left" wrapText="1"/>
    </xf>
    <xf numFmtId="9" fontId="6" fillId="2" borderId="0" xfId="0" applyNumberFormat="1" applyFont="1" applyFill="1" applyAlignment="1">
      <alignment horizontal="left" wrapText="1"/>
    </xf>
    <xf numFmtId="0" fontId="5" fillId="2" borderId="0" xfId="0" applyFont="1" applyFill="1" applyAlignment="1">
      <alignment horizontal="left"/>
    </xf>
    <xf numFmtId="167" fontId="6" fillId="2" borderId="0" xfId="2" applyNumberFormat="1" applyFont="1" applyFill="1"/>
    <xf numFmtId="167" fontId="6" fillId="3" borderId="0" xfId="2" applyNumberFormat="1" applyFont="1" applyFill="1"/>
    <xf numFmtId="167" fontId="6" fillId="7" borderId="0" xfId="2" applyNumberFormat="1" applyFont="1" applyFill="1" applyAlignment="1">
      <alignment horizontal="right"/>
    </xf>
    <xf numFmtId="167" fontId="6" fillId="7" borderId="0" xfId="0" applyNumberFormat="1" applyFont="1" applyFill="1"/>
    <xf numFmtId="167" fontId="5" fillId="4" borderId="0" xfId="0" applyNumberFormat="1" applyFont="1" applyFill="1" applyAlignment="1">
      <alignment horizontal="right"/>
    </xf>
    <xf numFmtId="167" fontId="5" fillId="4" borderId="0" xfId="0" applyNumberFormat="1" applyFont="1" applyFill="1"/>
    <xf numFmtId="0" fontId="12" fillId="2" borderId="0" xfId="0" applyFont="1" applyFill="1" applyAlignment="1">
      <alignment wrapText="1"/>
    </xf>
    <xf numFmtId="167" fontId="6" fillId="7" borderId="0" xfId="2" applyNumberFormat="1" applyFont="1" applyFill="1"/>
    <xf numFmtId="167" fontId="6" fillId="4" borderId="0" xfId="0" applyNumberFormat="1" applyFont="1" applyFill="1"/>
    <xf numFmtId="167" fontId="6" fillId="3" borderId="0" xfId="0" applyNumberFormat="1" applyFont="1" applyFill="1"/>
    <xf numFmtId="167" fontId="5" fillId="7" borderId="0" xfId="2" applyNumberFormat="1" applyFont="1" applyFill="1"/>
    <xf numFmtId="167" fontId="6" fillId="5" borderId="0" xfId="0" applyNumberFormat="1" applyFont="1" applyFill="1" applyAlignment="1">
      <alignment horizontal="right"/>
    </xf>
    <xf numFmtId="167" fontId="5" fillId="5" borderId="0" xfId="0" applyNumberFormat="1" applyFont="1" applyFill="1" applyAlignment="1">
      <alignment horizontal="right"/>
    </xf>
    <xf numFmtId="167" fontId="5" fillId="7" borderId="0" xfId="0" applyNumberFormat="1" applyFont="1" applyFill="1"/>
    <xf numFmtId="167" fontId="0" fillId="9" borderId="0" xfId="0" applyNumberFormat="1" applyFill="1" applyAlignment="1">
      <alignment horizontal="right"/>
    </xf>
    <xf numFmtId="167" fontId="0" fillId="2" borderId="0" xfId="0" applyNumberFormat="1" applyFill="1" applyAlignment="1">
      <alignment horizontal="right"/>
    </xf>
    <xf numFmtId="167" fontId="0" fillId="10" borderId="0" xfId="0" applyNumberFormat="1" applyFill="1"/>
    <xf numFmtId="167" fontId="5" fillId="2" borderId="0" xfId="2" applyNumberFormat="1" applyFont="1" applyFill="1" applyAlignment="1">
      <alignment horizontal="right" wrapText="1"/>
    </xf>
    <xf numFmtId="9" fontId="5" fillId="2" borderId="0" xfId="3" applyFont="1" applyFill="1"/>
    <xf numFmtId="167" fontId="0" fillId="13" borderId="0" xfId="0" applyNumberFormat="1" applyFill="1"/>
    <xf numFmtId="167" fontId="5" fillId="7" borderId="0" xfId="2" applyNumberFormat="1" applyFont="1" applyFill="1" applyAlignment="1">
      <alignment horizontal="right" wrapText="1"/>
    </xf>
    <xf numFmtId="167" fontId="5" fillId="7" borderId="0" xfId="2" applyNumberFormat="1" applyFont="1" applyFill="1" applyAlignment="1">
      <alignment horizontal="right"/>
    </xf>
    <xf numFmtId="0" fontId="5" fillId="7" borderId="0" xfId="0" applyFont="1" applyFill="1" applyAlignment="1">
      <alignment horizontal="center"/>
    </xf>
    <xf numFmtId="0" fontId="6" fillId="7" borderId="0" xfId="0" applyFont="1" applyFill="1" applyAlignment="1">
      <alignment wrapText="1"/>
    </xf>
    <xf numFmtId="169" fontId="5" fillId="7" borderId="0" xfId="0" applyNumberFormat="1" applyFont="1" applyFill="1" applyAlignment="1">
      <alignment horizontal="right"/>
    </xf>
    <xf numFmtId="0" fontId="0" fillId="0" borderId="0" xfId="0" applyAlignment="1">
      <alignment horizontal="center"/>
    </xf>
    <xf numFmtId="167" fontId="0" fillId="7" borderId="0" xfId="1" applyNumberFormat="1" applyFont="1" applyFill="1"/>
    <xf numFmtId="0" fontId="2" fillId="15" borderId="0" xfId="0" applyFont="1" applyFill="1" applyAlignment="1">
      <alignment horizontal="center"/>
    </xf>
    <xf numFmtId="0" fontId="2" fillId="7" borderId="0" xfId="0" applyFont="1" applyFill="1" applyAlignment="1">
      <alignment horizontal="center"/>
    </xf>
    <xf numFmtId="0" fontId="2" fillId="15" borderId="0" xfId="0" applyFont="1" applyFill="1"/>
    <xf numFmtId="0" fontId="2" fillId="6" borderId="0" xfId="0" applyFont="1" applyFill="1" applyAlignment="1">
      <alignment horizontal="center"/>
    </xf>
    <xf numFmtId="167" fontId="0" fillId="6" borderId="0" xfId="1" applyNumberFormat="1" applyFont="1" applyFill="1"/>
    <xf numFmtId="0" fontId="0" fillId="6" borderId="0" xfId="0" applyFill="1" applyAlignment="1">
      <alignment horizontal="center"/>
    </xf>
    <xf numFmtId="167" fontId="0" fillId="16" borderId="0" xfId="0" applyNumberFormat="1" applyFill="1"/>
    <xf numFmtId="0" fontId="2" fillId="16" borderId="0" xfId="0" applyFont="1" applyFill="1" applyAlignment="1">
      <alignment horizontal="center"/>
    </xf>
    <xf numFmtId="0" fontId="0" fillId="16" borderId="0" xfId="0" applyFill="1" applyAlignment="1">
      <alignment horizontal="center"/>
    </xf>
    <xf numFmtId="0" fontId="17" fillId="7" borderId="0" xfId="0" applyFont="1" applyFill="1"/>
    <xf numFmtId="0" fontId="5" fillId="6" borderId="0" xfId="0" applyFont="1" applyFill="1" applyAlignment="1">
      <alignment horizontal="center" wrapText="1"/>
    </xf>
    <xf numFmtId="0" fontId="0" fillId="17" borderId="0" xfId="0" applyFill="1"/>
    <xf numFmtId="0" fontId="0" fillId="17" borderId="0" xfId="0" applyFill="1" applyAlignment="1">
      <alignment horizontal="right"/>
    </xf>
    <xf numFmtId="168" fontId="11" fillId="14" borderId="0" xfId="0" applyNumberFormat="1" applyFont="1" applyFill="1"/>
    <xf numFmtId="0" fontId="16" fillId="11" borderId="3" xfId="0" applyFont="1" applyFill="1" applyBorder="1" applyAlignment="1">
      <alignment horizontal="center"/>
    </xf>
    <xf numFmtId="9" fontId="16" fillId="11" borderId="3" xfId="0" applyNumberFormat="1" applyFont="1" applyFill="1" applyBorder="1" applyAlignment="1">
      <alignment horizontal="center"/>
    </xf>
    <xf numFmtId="0" fontId="2" fillId="11" borderId="0" xfId="0" applyFont="1" applyFill="1" applyAlignment="1">
      <alignment horizontal="center"/>
    </xf>
    <xf numFmtId="0" fontId="2" fillId="11" borderId="0" xfId="0" applyFont="1" applyFill="1" applyAlignment="1">
      <alignment horizontal="center" wrapText="1"/>
    </xf>
    <xf numFmtId="0" fontId="6" fillId="7" borderId="0" xfId="0" applyFont="1" applyFill="1" applyAlignment="1">
      <alignment horizontal="center" wrapText="1"/>
    </xf>
    <xf numFmtId="0" fontId="14" fillId="7" borderId="0" xfId="0" applyFont="1" applyFill="1" applyAlignment="1">
      <alignment horizontal="center"/>
    </xf>
    <xf numFmtId="0" fontId="15" fillId="7" borderId="0" xfId="0" applyFont="1" applyFill="1" applyAlignment="1">
      <alignment horizontal="center"/>
    </xf>
    <xf numFmtId="0" fontId="2" fillId="11" borderId="0" xfId="0" applyFont="1" applyFill="1" applyAlignment="1">
      <alignment horizontal="center"/>
    </xf>
  </cellXfs>
  <cellStyles count="5">
    <cellStyle name="Komma" xfId="1" builtinId="3"/>
    <cellStyle name="Prozent" xfId="3" builtinId="5"/>
    <cellStyle name="Standard" xfId="0" builtinId="0"/>
    <cellStyle name="Standard 2 2" xfId="4" xr:uid="{CE52064D-80AF-4403-B651-924A6EB2CB6D}"/>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606878</xdr:colOff>
      <xdr:row>60</xdr:row>
      <xdr:rowOff>156028</xdr:rowOff>
    </xdr:from>
    <xdr:to>
      <xdr:col>4</xdr:col>
      <xdr:colOff>2302328</xdr:colOff>
      <xdr:row>65</xdr:row>
      <xdr:rowOff>179160</xdr:rowOff>
    </xdr:to>
    <xdr:sp macro="" textlink="">
      <xdr:nvSpPr>
        <xdr:cNvPr id="5" name="Minus Sign 4">
          <a:extLst>
            <a:ext uri="{FF2B5EF4-FFF2-40B4-BE49-F238E27FC236}">
              <a16:creationId xmlns:a16="http://schemas.microsoft.com/office/drawing/2014/main" id="{5BA50D08-CF3A-7044-B349-EB531556C33E}"/>
            </a:ext>
          </a:extLst>
        </xdr:cNvPr>
        <xdr:cNvSpPr/>
      </xdr:nvSpPr>
      <xdr:spPr>
        <a:xfrm>
          <a:off x="13071021" y="18498457"/>
          <a:ext cx="1695450" cy="1098096"/>
        </a:xfrm>
        <a:prstGeom prst="mathMinus">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1179512</xdr:colOff>
      <xdr:row>77</xdr:row>
      <xdr:rowOff>163513</xdr:rowOff>
    </xdr:from>
    <xdr:to>
      <xdr:col>5</xdr:col>
      <xdr:colOff>1647825</xdr:colOff>
      <xdr:row>80</xdr:row>
      <xdr:rowOff>177800</xdr:rowOff>
    </xdr:to>
    <xdr:sp macro="" textlink="">
      <xdr:nvSpPr>
        <xdr:cNvPr id="6" name="Right Brace 5">
          <a:extLst>
            <a:ext uri="{FF2B5EF4-FFF2-40B4-BE49-F238E27FC236}">
              <a16:creationId xmlns:a16="http://schemas.microsoft.com/office/drawing/2014/main" id="{9A706341-1419-E4BD-70BD-E06F5A625E9B}"/>
            </a:ext>
          </a:extLst>
        </xdr:cNvPr>
        <xdr:cNvSpPr/>
      </xdr:nvSpPr>
      <xdr:spPr>
        <a:xfrm rot="5400000">
          <a:off x="17678400" y="20261792"/>
          <a:ext cx="617537" cy="5823479"/>
        </a:xfrm>
        <a:prstGeom prst="rightBrace">
          <a:avLst>
            <a:gd name="adj1" fmla="val 78881"/>
            <a:gd name="adj2" fmla="val 48190"/>
          </a:avLst>
        </a:prstGeom>
        <a:ln w="82550">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2846389</xdr:colOff>
      <xdr:row>93</xdr:row>
      <xdr:rowOff>9527</xdr:rowOff>
    </xdr:from>
    <xdr:to>
      <xdr:col>2</xdr:col>
      <xdr:colOff>3438526</xdr:colOff>
      <xdr:row>104</xdr:row>
      <xdr:rowOff>114304</xdr:rowOff>
    </xdr:to>
    <xdr:sp macro="" textlink="">
      <xdr:nvSpPr>
        <xdr:cNvPr id="7" name="Arrow: Bent 6">
          <a:extLst>
            <a:ext uri="{FF2B5EF4-FFF2-40B4-BE49-F238E27FC236}">
              <a16:creationId xmlns:a16="http://schemas.microsoft.com/office/drawing/2014/main" id="{DE342E6F-5DF3-6B2C-91F7-3F9771C7AC38}"/>
            </a:ext>
          </a:extLst>
        </xdr:cNvPr>
        <xdr:cNvSpPr/>
      </xdr:nvSpPr>
      <xdr:spPr>
        <a:xfrm rot="16200000" flipH="1">
          <a:off x="7082632" y="24872159"/>
          <a:ext cx="2374902" cy="3481387"/>
        </a:xfrm>
        <a:prstGeom prst="bentArrow">
          <a:avLst>
            <a:gd name="adj1" fmla="val 4296"/>
            <a:gd name="adj2" fmla="val 6204"/>
            <a:gd name="adj3" fmla="val 24052"/>
            <a:gd name="adj4" fmla="val 53777"/>
          </a:avLst>
        </a:prstGeom>
        <a:solidFill>
          <a:schemeClr val="accent1">
            <a:lumMod val="60000"/>
            <a:lumOff val="40000"/>
          </a:schemeClr>
        </a:solidFill>
        <a:ln>
          <a:solidFill>
            <a:schemeClr val="accent1">
              <a:lumMod val="60000"/>
              <a:lumOff val="4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3</xdr:col>
      <xdr:colOff>323850</xdr:colOff>
      <xdr:row>109</xdr:row>
      <xdr:rowOff>152401</xdr:rowOff>
    </xdr:from>
    <xdr:to>
      <xdr:col>3</xdr:col>
      <xdr:colOff>1428750</xdr:colOff>
      <xdr:row>121</xdr:row>
      <xdr:rowOff>95250</xdr:rowOff>
    </xdr:to>
    <xdr:sp macro="" textlink="">
      <xdr:nvSpPr>
        <xdr:cNvPr id="8" name="Right Brace 7">
          <a:extLst>
            <a:ext uri="{FF2B5EF4-FFF2-40B4-BE49-F238E27FC236}">
              <a16:creationId xmlns:a16="http://schemas.microsoft.com/office/drawing/2014/main" id="{660B8A4E-F88A-49D0-A0F3-EA9459DA8F23}"/>
            </a:ext>
          </a:extLst>
        </xdr:cNvPr>
        <xdr:cNvSpPr/>
      </xdr:nvSpPr>
      <xdr:spPr>
        <a:xfrm>
          <a:off x="10658475" y="29314776"/>
          <a:ext cx="1104900" cy="2673349"/>
        </a:xfrm>
        <a:prstGeom prst="rightBrace">
          <a:avLst>
            <a:gd name="adj1" fmla="val 78881"/>
            <a:gd name="adj2" fmla="val 47610"/>
          </a:avLst>
        </a:prstGeom>
        <a:ln w="82550">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editAs="oneCell">
    <xdr:from>
      <xdr:col>0</xdr:col>
      <xdr:colOff>3026834</xdr:colOff>
      <xdr:row>125</xdr:row>
      <xdr:rowOff>148166</xdr:rowOff>
    </xdr:from>
    <xdr:to>
      <xdr:col>2</xdr:col>
      <xdr:colOff>1333500</xdr:colOff>
      <xdr:row>169</xdr:row>
      <xdr:rowOff>69182</xdr:rowOff>
    </xdr:to>
    <xdr:pic>
      <xdr:nvPicPr>
        <xdr:cNvPr id="2" name="Picture 1">
          <a:extLst>
            <a:ext uri="{FF2B5EF4-FFF2-40B4-BE49-F238E27FC236}">
              <a16:creationId xmlns:a16="http://schemas.microsoft.com/office/drawing/2014/main" id="{39F582A8-BBC8-44E1-11BE-B438D9A30CE6}"/>
            </a:ext>
          </a:extLst>
        </xdr:cNvPr>
        <xdr:cNvPicPr>
          <a:picLocks noChangeAspect="1"/>
        </xdr:cNvPicPr>
      </xdr:nvPicPr>
      <xdr:blipFill>
        <a:blip xmlns:r="http://schemas.openxmlformats.org/officeDocument/2006/relationships" r:embed="rId1"/>
        <a:stretch>
          <a:fillRect/>
        </a:stretch>
      </xdr:blipFill>
      <xdr:spPr>
        <a:xfrm>
          <a:off x="3026834" y="34533416"/>
          <a:ext cx="9292166" cy="8070183"/>
        </a:xfrm>
        <a:prstGeom prst="rect">
          <a:avLst/>
        </a:prstGeom>
      </xdr:spPr>
    </xdr:pic>
    <xdr:clientData/>
  </xdr:twoCellAnchor>
  <xdr:twoCellAnchor editAs="oneCell">
    <xdr:from>
      <xdr:col>4</xdr:col>
      <xdr:colOff>560917</xdr:colOff>
      <xdr:row>123</xdr:row>
      <xdr:rowOff>63500</xdr:rowOff>
    </xdr:from>
    <xdr:to>
      <xdr:col>6</xdr:col>
      <xdr:colOff>2097089</xdr:colOff>
      <xdr:row>152</xdr:row>
      <xdr:rowOff>137584</xdr:rowOff>
    </xdr:to>
    <xdr:pic>
      <xdr:nvPicPr>
        <xdr:cNvPr id="3" name="Picture 2">
          <a:extLst>
            <a:ext uri="{FF2B5EF4-FFF2-40B4-BE49-F238E27FC236}">
              <a16:creationId xmlns:a16="http://schemas.microsoft.com/office/drawing/2014/main" id="{9ECF3853-DFA4-3A84-10CE-9EB6348AD9B8}"/>
            </a:ext>
          </a:extLst>
        </xdr:cNvPr>
        <xdr:cNvPicPr>
          <a:picLocks noChangeAspect="1"/>
        </xdr:cNvPicPr>
      </xdr:nvPicPr>
      <xdr:blipFill>
        <a:blip xmlns:r="http://schemas.openxmlformats.org/officeDocument/2006/relationships" r:embed="rId2"/>
        <a:stretch>
          <a:fillRect/>
        </a:stretch>
      </xdr:blipFill>
      <xdr:spPr>
        <a:xfrm>
          <a:off x="17420167" y="34046583"/>
          <a:ext cx="8489422" cy="55668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1397000</xdr:colOff>
      <xdr:row>27</xdr:row>
      <xdr:rowOff>42332</xdr:rowOff>
    </xdr:from>
    <xdr:to>
      <xdr:col>8</xdr:col>
      <xdr:colOff>755806</xdr:colOff>
      <xdr:row>66</xdr:row>
      <xdr:rowOff>95249</xdr:rowOff>
    </xdr:to>
    <xdr:pic>
      <xdr:nvPicPr>
        <xdr:cNvPr id="2" name="Picture 1">
          <a:extLst>
            <a:ext uri="{FF2B5EF4-FFF2-40B4-BE49-F238E27FC236}">
              <a16:creationId xmlns:a16="http://schemas.microsoft.com/office/drawing/2014/main" id="{8FF75103-DBEF-C1F0-5B20-F801CDA79A2C}"/>
            </a:ext>
          </a:extLst>
        </xdr:cNvPr>
        <xdr:cNvPicPr>
          <a:picLocks noChangeAspect="1"/>
        </xdr:cNvPicPr>
      </xdr:nvPicPr>
      <xdr:blipFill>
        <a:blip xmlns:r="http://schemas.openxmlformats.org/officeDocument/2006/relationships" r:embed="rId1"/>
        <a:stretch>
          <a:fillRect/>
        </a:stretch>
      </xdr:blipFill>
      <xdr:spPr>
        <a:xfrm>
          <a:off x="4360333" y="5090582"/>
          <a:ext cx="11116890" cy="706966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094A6-3C58-4D24-855F-414FA7179152}">
  <dimension ref="A1:I136"/>
  <sheetViews>
    <sheetView topLeftCell="A107" zoomScale="70" zoomScaleNormal="70" workbookViewId="0">
      <selection activeCell="H116" sqref="H116"/>
    </sheetView>
  </sheetViews>
  <sheetFormatPr baseColWidth="10" defaultColWidth="8.81640625" defaultRowHeight="14" x14ac:dyDescent="0.3"/>
  <cols>
    <col min="1" max="1" width="68.81640625" style="14" customWidth="1"/>
    <col min="2" max="2" width="88.453125" style="14" customWidth="1"/>
    <col min="3" max="3" width="53.81640625" style="14" customWidth="1"/>
    <col min="4" max="4" width="30.36328125" style="14" customWidth="1"/>
    <col min="5" max="5" width="46.36328125" style="14" customWidth="1"/>
    <col min="6" max="6" width="53.1796875" style="14" customWidth="1"/>
    <col min="7" max="7" width="35.453125" style="14" customWidth="1"/>
    <col min="8" max="8" width="29.6328125" style="14" customWidth="1"/>
    <col min="9" max="9" width="23.453125" style="14" customWidth="1"/>
    <col min="10" max="10" width="18.36328125" style="14" customWidth="1"/>
    <col min="11" max="16384" width="8.81640625" style="14"/>
  </cols>
  <sheetData>
    <row r="1" spans="1:8" x14ac:dyDescent="0.3">
      <c r="A1" s="14" t="s">
        <v>0</v>
      </c>
    </row>
    <row r="2" spans="1:8" ht="49.25" customHeight="1" x14ac:dyDescent="0.5">
      <c r="A2" s="9" t="s">
        <v>1</v>
      </c>
      <c r="B2" s="12" t="s">
        <v>60</v>
      </c>
      <c r="C2" s="62" t="s">
        <v>83</v>
      </c>
      <c r="D2" s="12" t="s">
        <v>69</v>
      </c>
      <c r="E2" s="13"/>
      <c r="G2" s="13"/>
      <c r="H2" s="13"/>
    </row>
    <row r="3" spans="1:8" ht="43" customHeight="1" x14ac:dyDescent="0.35">
      <c r="A3" s="11" t="s">
        <v>66</v>
      </c>
      <c r="B3" s="18" t="s">
        <v>59</v>
      </c>
      <c r="C3" s="69">
        <f>((B4/39)+B5+A4)/3-(0.2*((B4/39)+B5+A4)/3)</f>
        <v>20537994.515487179</v>
      </c>
      <c r="D3" s="66">
        <v>20000000000</v>
      </c>
      <c r="G3" s="13"/>
      <c r="H3" s="13"/>
    </row>
    <row r="4" spans="1:8" ht="15.5" x14ac:dyDescent="0.35">
      <c r="A4" s="65">
        <v>21912480</v>
      </c>
      <c r="B4" s="64">
        <v>732242040</v>
      </c>
      <c r="C4" s="29"/>
      <c r="D4" s="10"/>
      <c r="G4" s="13"/>
      <c r="H4" s="13"/>
    </row>
    <row r="5" spans="1:8" ht="54" customHeight="1" x14ac:dyDescent="0.35">
      <c r="A5" s="11" t="s">
        <v>63</v>
      </c>
      <c r="B5" s="92">
        <v>36329562.509999998</v>
      </c>
      <c r="C5" s="10"/>
      <c r="D5" s="10"/>
      <c r="G5" s="13"/>
      <c r="H5" s="13"/>
    </row>
    <row r="6" spans="1:8" ht="15.5" x14ac:dyDescent="0.35">
      <c r="A6" s="13"/>
      <c r="B6" s="13"/>
      <c r="C6" s="13"/>
      <c r="D6" s="13"/>
      <c r="G6" s="13"/>
      <c r="H6" s="13"/>
    </row>
    <row r="7" spans="1:8" ht="51" customHeight="1" x14ac:dyDescent="0.5">
      <c r="A7" s="9" t="s">
        <v>2</v>
      </c>
      <c r="B7" s="15" t="s">
        <v>3</v>
      </c>
      <c r="C7" s="16"/>
      <c r="D7" s="17" t="s">
        <v>102</v>
      </c>
      <c r="G7" s="13"/>
      <c r="H7" s="13"/>
    </row>
    <row r="8" spans="1:8" ht="22.25" customHeight="1" x14ac:dyDescent="0.35">
      <c r="A8" s="10"/>
      <c r="B8" s="18" t="s">
        <v>4</v>
      </c>
      <c r="C8" s="10"/>
      <c r="D8" s="19">
        <v>0</v>
      </c>
      <c r="G8" s="13"/>
      <c r="H8" s="13"/>
    </row>
    <row r="9" spans="1:8" ht="56.75" customHeight="1" x14ac:dyDescent="0.35">
      <c r="A9" s="10"/>
      <c r="B9" s="18" t="s">
        <v>5</v>
      </c>
      <c r="C9" s="11" t="s">
        <v>6</v>
      </c>
      <c r="D9" s="20">
        <v>0.05</v>
      </c>
      <c r="G9" s="13"/>
      <c r="H9" s="13"/>
    </row>
    <row r="10" spans="1:8" ht="61.5" customHeight="1" x14ac:dyDescent="0.35">
      <c r="A10" s="10"/>
      <c r="B10" s="18" t="s">
        <v>7</v>
      </c>
      <c r="C10" s="10"/>
      <c r="D10" s="20">
        <v>0.1</v>
      </c>
      <c r="G10" s="13"/>
      <c r="H10" s="13"/>
    </row>
    <row r="11" spans="1:8" ht="27" customHeight="1" x14ac:dyDescent="0.35">
      <c r="A11" s="74" t="s">
        <v>8</v>
      </c>
      <c r="B11" s="22">
        <v>0.41</v>
      </c>
      <c r="C11" s="10"/>
      <c r="D11" s="10"/>
      <c r="E11" s="13"/>
      <c r="G11" s="13"/>
      <c r="H11" s="13"/>
    </row>
    <row r="12" spans="1:8" ht="15.5" x14ac:dyDescent="0.35">
      <c r="A12" s="71" t="s">
        <v>61</v>
      </c>
      <c r="B12" s="67">
        <f>(B11*D3)-(0.2*(B11*D3))</f>
        <v>6559999999.999999</v>
      </c>
      <c r="C12" s="10"/>
      <c r="D12" s="10"/>
      <c r="E12" s="13"/>
      <c r="G12" s="13"/>
      <c r="H12" s="13"/>
    </row>
    <row r="13" spans="1:8" ht="15.5" x14ac:dyDescent="0.35">
      <c r="A13" s="72" t="s">
        <v>9</v>
      </c>
      <c r="B13" s="70">
        <f>B12*0.001</f>
        <v>6559999.9999999991</v>
      </c>
      <c r="C13" s="10"/>
      <c r="D13" s="16"/>
      <c r="E13" s="13"/>
      <c r="G13" s="13"/>
      <c r="H13" s="13"/>
    </row>
    <row r="14" spans="1:8" ht="15.5" x14ac:dyDescent="0.35">
      <c r="A14" s="73" t="s">
        <v>10</v>
      </c>
      <c r="B14" s="70">
        <f>B12*0.01</f>
        <v>65599999.999999993</v>
      </c>
      <c r="C14" s="10"/>
      <c r="D14" s="16"/>
      <c r="E14" s="23"/>
      <c r="F14" s="13"/>
      <c r="G14" s="23"/>
      <c r="H14" s="13"/>
    </row>
    <row r="15" spans="1:8" ht="15.5" x14ac:dyDescent="0.35">
      <c r="A15" s="13"/>
      <c r="B15" s="13"/>
      <c r="C15" s="13"/>
      <c r="D15" s="13"/>
      <c r="E15" s="13"/>
      <c r="F15" s="13"/>
      <c r="G15" s="13"/>
      <c r="H15" s="13"/>
    </row>
    <row r="16" spans="1:8" ht="24" customHeight="1" x14ac:dyDescent="0.5">
      <c r="A16" s="24" t="s">
        <v>68</v>
      </c>
      <c r="B16" s="10" t="s">
        <v>11</v>
      </c>
      <c r="C16" s="10"/>
      <c r="D16" s="11"/>
      <c r="E16" s="11"/>
      <c r="F16" s="11"/>
      <c r="G16" s="13"/>
      <c r="H16" s="13"/>
    </row>
    <row r="17" spans="1:8" ht="31" x14ac:dyDescent="0.35">
      <c r="A17" s="21" t="s">
        <v>12</v>
      </c>
      <c r="B17" s="10"/>
      <c r="C17" s="19" t="s">
        <v>13</v>
      </c>
      <c r="D17" s="15" t="s">
        <v>14</v>
      </c>
      <c r="E17" s="15" t="s">
        <v>15</v>
      </c>
      <c r="F17" s="15" t="s">
        <v>64</v>
      </c>
      <c r="G17" s="13"/>
      <c r="H17" s="13"/>
    </row>
    <row r="18" spans="1:8" ht="15.5" x14ac:dyDescent="0.35">
      <c r="A18" s="25">
        <v>0.1</v>
      </c>
      <c r="B18" s="10" t="s">
        <v>55</v>
      </c>
      <c r="C18" s="10" t="s">
        <v>84</v>
      </c>
      <c r="D18" s="68">
        <f>C3*A18</f>
        <v>2053799.4515487179</v>
      </c>
      <c r="E18" s="68">
        <f>B13</f>
        <v>6559999.9999999991</v>
      </c>
      <c r="F18" s="70">
        <f>D18+E18</f>
        <v>8613799.4515487179</v>
      </c>
      <c r="G18" s="13"/>
      <c r="H18" s="13"/>
    </row>
    <row r="19" spans="1:8" ht="15.5" x14ac:dyDescent="0.35">
      <c r="A19" s="6">
        <v>0.2</v>
      </c>
      <c r="B19" s="10" t="s">
        <v>56</v>
      </c>
      <c r="C19" s="10" t="s">
        <v>85</v>
      </c>
      <c r="D19" s="68">
        <f>C3*A19</f>
        <v>4107598.9030974358</v>
      </c>
      <c r="E19" s="75">
        <f>B13</f>
        <v>6559999.9999999991</v>
      </c>
      <c r="F19" s="70">
        <f t="shared" ref="F19:F20" si="0">D19+E19</f>
        <v>10667598.903097436</v>
      </c>
      <c r="G19" s="13"/>
      <c r="H19" s="13"/>
    </row>
    <row r="20" spans="1:8" ht="15.5" x14ac:dyDescent="0.35">
      <c r="A20" s="19">
        <v>0.5</v>
      </c>
      <c r="B20" s="10" t="s">
        <v>16</v>
      </c>
      <c r="C20" s="10" t="s">
        <v>86</v>
      </c>
      <c r="D20" s="68">
        <f>C3*A20</f>
        <v>10268997.25774359</v>
      </c>
      <c r="E20" s="68">
        <f>B14</f>
        <v>65599999.999999993</v>
      </c>
      <c r="F20" s="70">
        <f t="shared" si="0"/>
        <v>75868997.257743582</v>
      </c>
      <c r="G20" s="13"/>
      <c r="H20" s="13"/>
    </row>
    <row r="21" spans="1:8" ht="15.5" x14ac:dyDescent="0.35">
      <c r="A21" s="13"/>
      <c r="B21" s="13"/>
      <c r="C21" s="13"/>
      <c r="D21" s="13"/>
      <c r="E21" s="26"/>
      <c r="F21" s="13"/>
      <c r="G21" s="13"/>
      <c r="H21" s="13"/>
    </row>
    <row r="22" spans="1:8" ht="85.25" customHeight="1" x14ac:dyDescent="0.5">
      <c r="A22" s="27" t="s">
        <v>71</v>
      </c>
      <c r="B22" s="15" t="s">
        <v>99</v>
      </c>
      <c r="C22" s="15" t="s">
        <v>100</v>
      </c>
      <c r="D22" s="15" t="s">
        <v>101</v>
      </c>
      <c r="E22" s="13"/>
      <c r="G22" s="13"/>
      <c r="H22" s="13"/>
    </row>
    <row r="23" spans="1:8" ht="15.5" x14ac:dyDescent="0.35">
      <c r="A23" s="19">
        <v>1</v>
      </c>
      <c r="B23" s="75">
        <v>0</v>
      </c>
      <c r="C23" s="75">
        <v>0</v>
      </c>
      <c r="D23" s="75">
        <v>0</v>
      </c>
      <c r="E23" s="13"/>
      <c r="G23" s="13"/>
      <c r="H23" s="13"/>
    </row>
    <row r="24" spans="1:8" ht="15.5" x14ac:dyDescent="0.35">
      <c r="A24" s="19">
        <v>2</v>
      </c>
      <c r="B24" s="75">
        <v>0</v>
      </c>
      <c r="C24" s="75">
        <v>0</v>
      </c>
      <c r="D24" s="75">
        <v>0</v>
      </c>
      <c r="E24" s="13"/>
      <c r="F24" s="13"/>
      <c r="G24" s="13"/>
      <c r="H24" s="13"/>
    </row>
    <row r="25" spans="1:8" ht="26.5" x14ac:dyDescent="0.35">
      <c r="A25" s="19">
        <v>3</v>
      </c>
      <c r="B25" s="75">
        <f>B24+(F18*F26)</f>
        <v>1722759.8903097436</v>
      </c>
      <c r="C25" s="75">
        <f>C24+F19*F26</f>
        <v>2133519.7806194872</v>
      </c>
      <c r="D25" s="75">
        <f>D24+F20*F26</f>
        <v>15173799.451548718</v>
      </c>
      <c r="E25" s="13"/>
      <c r="F25" s="81" t="s">
        <v>88</v>
      </c>
      <c r="G25" s="13"/>
      <c r="H25" s="13"/>
    </row>
    <row r="26" spans="1:8" ht="15.5" x14ac:dyDescent="0.35">
      <c r="A26" s="19">
        <v>4</v>
      </c>
      <c r="B26" s="75">
        <f>B25+(F18*F26)</f>
        <v>3445519.7806194872</v>
      </c>
      <c r="C26" s="75">
        <f>C25+F19*F26</f>
        <v>4267039.5612389743</v>
      </c>
      <c r="D26" s="75">
        <f>D25+F20*F26</f>
        <v>30347598.903097436</v>
      </c>
      <c r="E26" s="13"/>
      <c r="F26" s="93">
        <f>0.2</f>
        <v>0.2</v>
      </c>
      <c r="G26" s="13"/>
      <c r="H26" s="13"/>
    </row>
    <row r="27" spans="1:8" ht="15.5" x14ac:dyDescent="0.35">
      <c r="A27" s="19">
        <v>5</v>
      </c>
      <c r="B27" s="75">
        <f>B26+(F18*F26)</f>
        <v>5168279.6709292307</v>
      </c>
      <c r="C27" s="75">
        <f>C26+F19*F26</f>
        <v>6400559.3418584615</v>
      </c>
      <c r="D27" s="75">
        <f>D26+F20*F26</f>
        <v>45521398.354646154</v>
      </c>
      <c r="E27" s="13"/>
      <c r="F27" s="13"/>
      <c r="G27" s="13"/>
      <c r="H27" s="13"/>
    </row>
    <row r="28" spans="1:8" ht="15.5" x14ac:dyDescent="0.35">
      <c r="A28" s="19">
        <v>6</v>
      </c>
      <c r="B28" s="75">
        <f>B27+(F18*F26)</f>
        <v>6891039.5612389743</v>
      </c>
      <c r="C28" s="75">
        <f>C27+F19*F26</f>
        <v>8534079.1224779487</v>
      </c>
      <c r="D28" s="75">
        <f>D27+F20*F26</f>
        <v>60695197.806194872</v>
      </c>
      <c r="G28" s="13"/>
      <c r="H28" s="13"/>
    </row>
    <row r="29" spans="1:8" ht="15.5" x14ac:dyDescent="0.35">
      <c r="A29" s="28">
        <v>7</v>
      </c>
      <c r="B29" s="76">
        <f>B28+(F18*F26)</f>
        <v>8613799.4515487179</v>
      </c>
      <c r="C29" s="76">
        <f>C28+F19*F26</f>
        <v>10667598.903097436</v>
      </c>
      <c r="D29" s="76">
        <f>D28+F20*F26</f>
        <v>75868997.257743597</v>
      </c>
      <c r="E29" s="28" t="s">
        <v>17</v>
      </c>
      <c r="F29" s="29"/>
      <c r="G29" s="13"/>
      <c r="H29" s="13"/>
    </row>
    <row r="30" spans="1:8" ht="15.5" x14ac:dyDescent="0.35">
      <c r="A30" s="19">
        <v>8</v>
      </c>
      <c r="B30" s="75">
        <f>F18</f>
        <v>8613799.4515487179</v>
      </c>
      <c r="C30" s="75">
        <f>F19</f>
        <v>10667598.903097436</v>
      </c>
      <c r="D30" s="75">
        <f>F20</f>
        <v>75868997.257743582</v>
      </c>
      <c r="G30" s="13"/>
      <c r="H30" s="13"/>
    </row>
    <row r="31" spans="1:8" ht="15.5" x14ac:dyDescent="0.35">
      <c r="A31" s="19">
        <v>9</v>
      </c>
      <c r="B31" s="75">
        <f>F18</f>
        <v>8613799.4515487179</v>
      </c>
      <c r="C31" s="75">
        <f>F19</f>
        <v>10667598.903097436</v>
      </c>
      <c r="D31" s="75">
        <f>F20</f>
        <v>75868997.257743582</v>
      </c>
      <c r="E31" s="13"/>
      <c r="F31" s="13"/>
      <c r="G31" s="13"/>
      <c r="H31" s="13"/>
    </row>
    <row r="32" spans="1:8" ht="15.5" x14ac:dyDescent="0.35">
      <c r="A32" s="19">
        <v>10</v>
      </c>
      <c r="B32" s="75">
        <f>F18</f>
        <v>8613799.4515487179</v>
      </c>
      <c r="C32" s="75">
        <f>F19</f>
        <v>10667598.903097436</v>
      </c>
      <c r="D32" s="75">
        <f>F20</f>
        <v>75868997.257743582</v>
      </c>
      <c r="E32" s="13"/>
      <c r="F32" s="13"/>
      <c r="G32" s="13"/>
      <c r="H32" s="13"/>
    </row>
    <row r="33" spans="1:9" ht="15.5" x14ac:dyDescent="0.35">
      <c r="A33" s="19">
        <v>11</v>
      </c>
      <c r="B33" s="75">
        <f>F18</f>
        <v>8613799.4515487179</v>
      </c>
      <c r="C33" s="75">
        <f>F19</f>
        <v>10667598.903097436</v>
      </c>
      <c r="D33" s="75">
        <f>F20</f>
        <v>75868997.257743582</v>
      </c>
      <c r="E33" s="13"/>
      <c r="F33" s="13"/>
      <c r="G33" s="13"/>
      <c r="H33" s="13"/>
    </row>
    <row r="34" spans="1:9" ht="15.5" x14ac:dyDescent="0.35">
      <c r="A34" s="19">
        <v>12</v>
      </c>
      <c r="B34" s="75">
        <f>F18</f>
        <v>8613799.4515487179</v>
      </c>
      <c r="C34" s="75">
        <f>F19</f>
        <v>10667598.903097436</v>
      </c>
      <c r="D34" s="75">
        <f>F20</f>
        <v>75868997.257743582</v>
      </c>
      <c r="E34" s="13"/>
      <c r="F34" s="13"/>
      <c r="G34" s="13"/>
      <c r="H34" s="13"/>
    </row>
    <row r="35" spans="1:9" ht="15.5" x14ac:dyDescent="0.35">
      <c r="A35" s="19">
        <v>13</v>
      </c>
      <c r="B35" s="75">
        <f>F18</f>
        <v>8613799.4515487179</v>
      </c>
      <c r="C35" s="75">
        <f>F19</f>
        <v>10667598.903097436</v>
      </c>
      <c r="D35" s="75">
        <f>F20</f>
        <v>75868997.257743582</v>
      </c>
      <c r="E35" s="13"/>
      <c r="F35" s="13"/>
      <c r="G35" s="13"/>
      <c r="H35" s="13"/>
    </row>
    <row r="36" spans="1:9" ht="15.5" x14ac:dyDescent="0.35">
      <c r="A36" s="19">
        <v>14</v>
      </c>
      <c r="B36" s="75">
        <f>F18</f>
        <v>8613799.4515487179</v>
      </c>
      <c r="C36" s="75">
        <f>F19</f>
        <v>10667598.903097436</v>
      </c>
      <c r="D36" s="75">
        <f>F20</f>
        <v>75868997.257743582</v>
      </c>
      <c r="E36" s="13"/>
      <c r="F36" s="13"/>
      <c r="G36" s="13"/>
      <c r="H36" s="13"/>
    </row>
    <row r="37" spans="1:9" ht="15.5" x14ac:dyDescent="0.35">
      <c r="A37" s="19">
        <v>15</v>
      </c>
      <c r="B37" s="75">
        <f>F18</f>
        <v>8613799.4515487179</v>
      </c>
      <c r="C37" s="75">
        <f>F19</f>
        <v>10667598.903097436</v>
      </c>
      <c r="D37" s="75">
        <f>F20</f>
        <v>75868997.257743582</v>
      </c>
      <c r="E37" s="13"/>
      <c r="F37" s="13"/>
      <c r="G37" s="13"/>
      <c r="H37" s="13"/>
    </row>
    <row r="38" spans="1:9" ht="15.5" x14ac:dyDescent="0.35">
      <c r="A38" s="19">
        <v>16</v>
      </c>
      <c r="B38" s="75">
        <f>F18</f>
        <v>8613799.4515487179</v>
      </c>
      <c r="C38" s="75">
        <f>F19</f>
        <v>10667598.903097436</v>
      </c>
      <c r="D38" s="75">
        <f>F20</f>
        <v>75868997.257743582</v>
      </c>
      <c r="E38" s="13"/>
      <c r="F38" s="13"/>
      <c r="G38" s="13"/>
      <c r="H38" s="13"/>
    </row>
    <row r="39" spans="1:9" ht="15.5" x14ac:dyDescent="0.35">
      <c r="A39" s="19">
        <v>17</v>
      </c>
      <c r="B39" s="75">
        <f>F18</f>
        <v>8613799.4515487179</v>
      </c>
      <c r="C39" s="75">
        <f>F19</f>
        <v>10667598.903097436</v>
      </c>
      <c r="D39" s="75">
        <f>F20</f>
        <v>75868997.257743582</v>
      </c>
      <c r="E39" s="13"/>
    </row>
    <row r="40" spans="1:9" ht="15.5" x14ac:dyDescent="0.35">
      <c r="A40" s="19">
        <v>18</v>
      </c>
      <c r="B40" s="75">
        <f>F18</f>
        <v>8613799.4515487179</v>
      </c>
      <c r="C40" s="75">
        <f>F19</f>
        <v>10667598.903097436</v>
      </c>
      <c r="D40" s="75">
        <f>F20</f>
        <v>75868997.257743582</v>
      </c>
      <c r="E40" s="13"/>
      <c r="F40" s="13"/>
      <c r="G40" s="13"/>
      <c r="H40" s="13"/>
    </row>
    <row r="41" spans="1:9" ht="15.5" x14ac:dyDescent="0.35">
      <c r="A41" s="19">
        <v>19</v>
      </c>
      <c r="B41" s="75">
        <f>F18</f>
        <v>8613799.4515487179</v>
      </c>
      <c r="C41" s="75">
        <f>F19</f>
        <v>10667598.903097436</v>
      </c>
      <c r="D41" s="75">
        <f>F20</f>
        <v>75868997.257743582</v>
      </c>
      <c r="E41" s="13"/>
      <c r="F41" s="13"/>
      <c r="G41" s="13"/>
      <c r="H41" s="13"/>
    </row>
    <row r="42" spans="1:9" ht="15.5" x14ac:dyDescent="0.35">
      <c r="A42" s="19">
        <v>20</v>
      </c>
      <c r="B42" s="75">
        <f>F18</f>
        <v>8613799.4515487179</v>
      </c>
      <c r="C42" s="75">
        <f>F19</f>
        <v>10667598.903097436</v>
      </c>
      <c r="D42" s="75">
        <f>F20</f>
        <v>75868997.257743582</v>
      </c>
      <c r="E42" s="13"/>
      <c r="F42" s="13"/>
      <c r="G42" s="13"/>
      <c r="H42" s="13"/>
    </row>
    <row r="43" spans="1:9" ht="15.5" x14ac:dyDescent="0.35">
      <c r="A43" s="21" t="s">
        <v>8</v>
      </c>
      <c r="B43" s="66">
        <f>SUM(B23:B42)</f>
        <v>137820791.22477955</v>
      </c>
      <c r="C43" s="66">
        <f t="shared" ref="C43:D43" si="1">SUM(C23:C42)</f>
        <v>170681582.44955903</v>
      </c>
      <c r="D43" s="66">
        <f t="shared" si="1"/>
        <v>1213903956.1238976</v>
      </c>
      <c r="E43" s="13"/>
      <c r="F43" s="13"/>
      <c r="G43" s="13"/>
      <c r="H43" s="13"/>
    </row>
    <row r="44" spans="1:9" ht="15.5" x14ac:dyDescent="0.35">
      <c r="A44" s="13"/>
      <c r="B44" s="13"/>
      <c r="C44" s="13"/>
      <c r="D44" s="13"/>
      <c r="E44" s="13"/>
      <c r="F44" s="13"/>
      <c r="G44" s="13"/>
      <c r="H44" s="13"/>
    </row>
    <row r="45" spans="1:9" ht="56.5" customHeight="1" x14ac:dyDescent="0.5">
      <c r="A45" s="30" t="s">
        <v>18</v>
      </c>
      <c r="B45" s="31"/>
      <c r="C45" s="121" t="s">
        <v>70</v>
      </c>
      <c r="D45" s="122"/>
      <c r="E45" s="122"/>
      <c r="F45" s="122"/>
      <c r="G45" s="122"/>
      <c r="H45" s="122"/>
      <c r="I45" s="122"/>
    </row>
    <row r="46" spans="1:9" ht="30.5" customHeight="1" x14ac:dyDescent="0.35">
      <c r="A46" s="33" t="s">
        <v>114</v>
      </c>
      <c r="B46" s="33" t="s">
        <v>19</v>
      </c>
      <c r="C46" s="33" t="s">
        <v>72</v>
      </c>
      <c r="D46" s="33" t="s">
        <v>73</v>
      </c>
      <c r="E46" s="33" t="s">
        <v>74</v>
      </c>
      <c r="F46" s="33" t="s">
        <v>75</v>
      </c>
      <c r="G46" s="33" t="s">
        <v>76</v>
      </c>
      <c r="H46" s="33" t="s">
        <v>77</v>
      </c>
      <c r="I46" s="33" t="s">
        <v>78</v>
      </c>
    </row>
    <row r="47" spans="1:9" ht="15.5" x14ac:dyDescent="0.35">
      <c r="A47" s="33" t="s">
        <v>81</v>
      </c>
      <c r="B47" s="95">
        <f>SUM(C47:I47)</f>
        <v>32006150.880000003</v>
      </c>
      <c r="C47" s="77">
        <f>788013.91+682738.78+396675.62</f>
        <v>1867428.31</v>
      </c>
      <c r="D47" s="77">
        <f>2261263.2+1953654.06+1103680.84</f>
        <v>5318598.0999999996</v>
      </c>
      <c r="E47" s="77">
        <f>2261263.2+1953654.06+1103680.84</f>
        <v>5318598.0999999996</v>
      </c>
      <c r="F47" s="77">
        <f t="shared" ref="F47:H47" si="2">2261263.2+1953654.06+1103680.84</f>
        <v>5318598.0999999996</v>
      </c>
      <c r="G47" s="77">
        <f t="shared" si="2"/>
        <v>5318598.0999999996</v>
      </c>
      <c r="H47" s="77">
        <f t="shared" si="2"/>
        <v>5318598.0999999996</v>
      </c>
      <c r="I47" s="78">
        <f>1507508.8+1302436.04+735787.23</f>
        <v>3545732.07</v>
      </c>
    </row>
    <row r="48" spans="1:9" ht="15.5" x14ac:dyDescent="0.35">
      <c r="A48" s="33" t="s">
        <v>82</v>
      </c>
      <c r="B48" s="96">
        <f>SUM(C48:I48)</f>
        <v>2817849.0910472227</v>
      </c>
      <c r="C48" s="77">
        <v>199538.33956388891</v>
      </c>
      <c r="D48" s="77">
        <v>431008.62029666675</v>
      </c>
      <c r="E48" s="77">
        <v>431008.62029666675</v>
      </c>
      <c r="F48" s="77">
        <v>431008.62029666675</v>
      </c>
      <c r="G48" s="77">
        <v>431008.62029666675</v>
      </c>
      <c r="H48" s="77">
        <v>431008.62029666698</v>
      </c>
      <c r="I48" s="78">
        <f>133135.39+154203.69+175928.57</f>
        <v>463267.65</v>
      </c>
    </row>
    <row r="49" spans="1:9" ht="37.25" customHeight="1" x14ac:dyDescent="0.35">
      <c r="A49" s="33" t="s">
        <v>8</v>
      </c>
      <c r="B49" s="99">
        <f>SUM(C49:I49)</f>
        <v>34823999.971047223</v>
      </c>
      <c r="C49" s="79">
        <f>C47+C48</f>
        <v>2066966.649563889</v>
      </c>
      <c r="D49" s="79">
        <f t="shared" ref="D49:H49" si="3">D47+D48</f>
        <v>5749606.720296666</v>
      </c>
      <c r="E49" s="79">
        <f t="shared" si="3"/>
        <v>5749606.720296666</v>
      </c>
      <c r="F49" s="79">
        <f t="shared" si="3"/>
        <v>5749606.720296666</v>
      </c>
      <c r="G49" s="79">
        <f t="shared" si="3"/>
        <v>5749606.720296666</v>
      </c>
      <c r="H49" s="79">
        <f t="shared" si="3"/>
        <v>5749606.720296667</v>
      </c>
      <c r="I49" s="80">
        <f>SUM(I47:I48)</f>
        <v>4008999.7199999997</v>
      </c>
    </row>
    <row r="51" spans="1:9" ht="58.25" customHeight="1" x14ac:dyDescent="0.35">
      <c r="A51" s="120" t="s">
        <v>65</v>
      </c>
      <c r="B51" s="120"/>
      <c r="C51" s="120"/>
    </row>
    <row r="52" spans="1:9" ht="19.25" customHeight="1" x14ac:dyDescent="0.3"/>
    <row r="53" spans="1:9" ht="32" customHeight="1" x14ac:dyDescent="0.5">
      <c r="A53" s="34" t="s">
        <v>79</v>
      </c>
      <c r="B53" s="31"/>
      <c r="C53" s="31"/>
      <c r="D53" s="32"/>
      <c r="F53" s="35"/>
      <c r="G53" s="36" t="s">
        <v>20</v>
      </c>
      <c r="H53" s="35"/>
    </row>
    <row r="54" spans="1:9" ht="27" customHeight="1" x14ac:dyDescent="0.35">
      <c r="A54" s="111" t="s">
        <v>96</v>
      </c>
      <c r="B54" s="31"/>
      <c r="C54" s="37"/>
      <c r="D54" s="31"/>
      <c r="F54" s="35"/>
      <c r="G54" s="35"/>
      <c r="H54" s="35"/>
    </row>
    <row r="55" spans="1:9" ht="31" x14ac:dyDescent="0.35">
      <c r="A55" s="38" t="s">
        <v>80</v>
      </c>
      <c r="B55" s="97" t="s">
        <v>22</v>
      </c>
      <c r="C55" s="97" t="s">
        <v>95</v>
      </c>
      <c r="D55" s="61" t="s">
        <v>93</v>
      </c>
      <c r="F55" s="112" t="s">
        <v>67</v>
      </c>
      <c r="G55" s="112" t="s">
        <v>97</v>
      </c>
      <c r="H55" s="39" t="s">
        <v>106</v>
      </c>
    </row>
    <row r="56" spans="1:9" ht="15.5" x14ac:dyDescent="0.35">
      <c r="A56" s="37">
        <v>1</v>
      </c>
      <c r="B56" s="82">
        <v>0</v>
      </c>
      <c r="C56" s="78">
        <f>C49</f>
        <v>2066966.649563889</v>
      </c>
      <c r="D56" s="80">
        <f>B56+C56</f>
        <v>2066966.649563889</v>
      </c>
      <c r="F56" s="67">
        <f>B23</f>
        <v>0</v>
      </c>
      <c r="G56" s="67">
        <f>C23</f>
        <v>0</v>
      </c>
      <c r="H56" s="67">
        <f>D23</f>
        <v>0</v>
      </c>
    </row>
    <row r="57" spans="1:9" ht="20" customHeight="1" x14ac:dyDescent="0.35">
      <c r="A57" s="37">
        <v>2</v>
      </c>
      <c r="B57" s="78">
        <v>0</v>
      </c>
      <c r="C57" s="78">
        <f>D49</f>
        <v>5749606.720296666</v>
      </c>
      <c r="D57" s="80">
        <f t="shared" ref="D57:D75" si="4">B57+C57</f>
        <v>5749606.720296666</v>
      </c>
      <c r="F57" s="67">
        <f t="shared" ref="F57:F75" si="5">B24</f>
        <v>0</v>
      </c>
      <c r="G57" s="67">
        <f t="shared" ref="G57:G75" si="6">C24</f>
        <v>0</v>
      </c>
      <c r="H57" s="67">
        <f t="shared" ref="H57:H75" si="7">D24</f>
        <v>0</v>
      </c>
    </row>
    <row r="58" spans="1:9" ht="15.5" x14ac:dyDescent="0.35">
      <c r="A58" s="37">
        <v>3</v>
      </c>
      <c r="B58" s="78">
        <v>0</v>
      </c>
      <c r="C58" s="78">
        <f>E49</f>
        <v>5749606.720296666</v>
      </c>
      <c r="D58" s="80">
        <f t="shared" si="4"/>
        <v>5749606.720296666</v>
      </c>
      <c r="F58" s="67">
        <f t="shared" si="5"/>
        <v>1722759.8903097436</v>
      </c>
      <c r="G58" s="67">
        <f t="shared" si="6"/>
        <v>2133519.7806194872</v>
      </c>
      <c r="H58" s="67">
        <f t="shared" si="7"/>
        <v>15173799.451548718</v>
      </c>
    </row>
    <row r="59" spans="1:9" ht="15.5" x14ac:dyDescent="0.35">
      <c r="A59" s="37">
        <v>4</v>
      </c>
      <c r="B59" s="78">
        <f>100000</f>
        <v>100000</v>
      </c>
      <c r="C59" s="78">
        <f>F49</f>
        <v>5749606.720296666</v>
      </c>
      <c r="D59" s="80">
        <f t="shared" si="4"/>
        <v>5849606.720296666</v>
      </c>
      <c r="F59" s="67">
        <f t="shared" si="5"/>
        <v>3445519.7806194872</v>
      </c>
      <c r="G59" s="67">
        <f t="shared" si="6"/>
        <v>4267039.5612389743</v>
      </c>
      <c r="H59" s="67">
        <f t="shared" si="7"/>
        <v>30347598.903097436</v>
      </c>
    </row>
    <row r="60" spans="1:9" ht="15.5" x14ac:dyDescent="0.35">
      <c r="A60" s="37">
        <v>5</v>
      </c>
      <c r="B60" s="78">
        <v>200000</v>
      </c>
      <c r="C60" s="78">
        <f>G49</f>
        <v>5749606.720296666</v>
      </c>
      <c r="D60" s="80">
        <f t="shared" si="4"/>
        <v>5949606.720296666</v>
      </c>
      <c r="F60" s="67">
        <f t="shared" si="5"/>
        <v>5168279.6709292307</v>
      </c>
      <c r="G60" s="67">
        <f t="shared" si="6"/>
        <v>6400559.3418584615</v>
      </c>
      <c r="H60" s="67">
        <f t="shared" si="7"/>
        <v>45521398.354646154</v>
      </c>
    </row>
    <row r="61" spans="1:9" ht="18.5" customHeight="1" x14ac:dyDescent="0.35">
      <c r="A61" s="37">
        <v>6</v>
      </c>
      <c r="B61" s="78">
        <v>400000</v>
      </c>
      <c r="C61" s="78">
        <f>H49</f>
        <v>5749606.720296667</v>
      </c>
      <c r="D61" s="80">
        <f t="shared" si="4"/>
        <v>6149606.720296667</v>
      </c>
      <c r="F61" s="67">
        <f t="shared" si="5"/>
        <v>6891039.5612389743</v>
      </c>
      <c r="G61" s="67">
        <f t="shared" si="6"/>
        <v>8534079.1224779487</v>
      </c>
      <c r="H61" s="67">
        <f t="shared" si="7"/>
        <v>60695197.806194872</v>
      </c>
    </row>
    <row r="62" spans="1:9" ht="17" customHeight="1" x14ac:dyDescent="0.35">
      <c r="A62" s="37">
        <v>7</v>
      </c>
      <c r="B62" s="78">
        <v>800000</v>
      </c>
      <c r="C62" s="82">
        <f>I49</f>
        <v>4008999.7199999997</v>
      </c>
      <c r="D62" s="80">
        <f t="shared" si="4"/>
        <v>4808999.72</v>
      </c>
      <c r="F62" s="67">
        <f t="shared" si="5"/>
        <v>8613799.4515487179</v>
      </c>
      <c r="G62" s="67">
        <f t="shared" si="6"/>
        <v>10667598.903097436</v>
      </c>
      <c r="H62" s="67">
        <f t="shared" si="7"/>
        <v>75868997.257743597</v>
      </c>
    </row>
    <row r="63" spans="1:9" ht="15.5" x14ac:dyDescent="0.35">
      <c r="A63" s="40">
        <v>8</v>
      </c>
      <c r="B63" s="78">
        <f>B64</f>
        <v>1000000</v>
      </c>
      <c r="C63" s="82">
        <v>0</v>
      </c>
      <c r="D63" s="80">
        <f t="shared" si="4"/>
        <v>1000000</v>
      </c>
      <c r="F63" s="67">
        <f t="shared" si="5"/>
        <v>8613799.4515487179</v>
      </c>
      <c r="G63" s="67">
        <f t="shared" si="6"/>
        <v>10667598.903097436</v>
      </c>
      <c r="H63" s="67">
        <f t="shared" si="7"/>
        <v>75868997.257743582</v>
      </c>
    </row>
    <row r="64" spans="1:9" ht="15.5" x14ac:dyDescent="0.35">
      <c r="A64" s="37">
        <v>9</v>
      </c>
      <c r="B64" s="78">
        <v>1000000</v>
      </c>
      <c r="C64" s="82">
        <v>0</v>
      </c>
      <c r="D64" s="80">
        <f t="shared" si="4"/>
        <v>1000000</v>
      </c>
      <c r="F64" s="67">
        <f t="shared" si="5"/>
        <v>8613799.4515487179</v>
      </c>
      <c r="G64" s="67">
        <f t="shared" si="6"/>
        <v>10667598.903097436</v>
      </c>
      <c r="H64" s="67">
        <f t="shared" si="7"/>
        <v>75868997.257743582</v>
      </c>
    </row>
    <row r="65" spans="1:8" ht="15.5" x14ac:dyDescent="0.35">
      <c r="A65" s="37">
        <v>10</v>
      </c>
      <c r="B65" s="78">
        <v>1000000</v>
      </c>
      <c r="C65" s="82">
        <v>0</v>
      </c>
      <c r="D65" s="80">
        <f t="shared" si="4"/>
        <v>1000000</v>
      </c>
      <c r="F65" s="67">
        <f t="shared" si="5"/>
        <v>8613799.4515487179</v>
      </c>
      <c r="G65" s="67">
        <f t="shared" si="6"/>
        <v>10667598.903097436</v>
      </c>
      <c r="H65" s="67">
        <f t="shared" si="7"/>
        <v>75868997.257743582</v>
      </c>
    </row>
    <row r="66" spans="1:8" ht="15.5" x14ac:dyDescent="0.35">
      <c r="A66" s="37">
        <v>11</v>
      </c>
      <c r="B66" s="78">
        <v>1000000</v>
      </c>
      <c r="C66" s="82">
        <v>0</v>
      </c>
      <c r="D66" s="80">
        <f t="shared" si="4"/>
        <v>1000000</v>
      </c>
      <c r="F66" s="67">
        <f t="shared" si="5"/>
        <v>8613799.4515487179</v>
      </c>
      <c r="G66" s="67">
        <f t="shared" si="6"/>
        <v>10667598.903097436</v>
      </c>
      <c r="H66" s="67">
        <f t="shared" si="7"/>
        <v>75868997.257743582</v>
      </c>
    </row>
    <row r="67" spans="1:8" ht="15.5" x14ac:dyDescent="0.35">
      <c r="A67" s="37">
        <v>12</v>
      </c>
      <c r="B67" s="78">
        <v>1000000</v>
      </c>
      <c r="C67" s="82">
        <v>0</v>
      </c>
      <c r="D67" s="80">
        <f t="shared" si="4"/>
        <v>1000000</v>
      </c>
      <c r="F67" s="67">
        <f t="shared" si="5"/>
        <v>8613799.4515487179</v>
      </c>
      <c r="G67" s="67">
        <f t="shared" si="6"/>
        <v>10667598.903097436</v>
      </c>
      <c r="H67" s="67">
        <f t="shared" si="7"/>
        <v>75868997.257743582</v>
      </c>
    </row>
    <row r="68" spans="1:8" ht="15.5" x14ac:dyDescent="0.35">
      <c r="A68" s="37">
        <v>13</v>
      </c>
      <c r="B68" s="78">
        <v>1000000</v>
      </c>
      <c r="C68" s="82">
        <v>0</v>
      </c>
      <c r="D68" s="80">
        <f t="shared" si="4"/>
        <v>1000000</v>
      </c>
      <c r="F68" s="67">
        <f t="shared" si="5"/>
        <v>8613799.4515487179</v>
      </c>
      <c r="G68" s="67">
        <f t="shared" si="6"/>
        <v>10667598.903097436</v>
      </c>
      <c r="H68" s="67">
        <f t="shared" si="7"/>
        <v>75868997.257743582</v>
      </c>
    </row>
    <row r="69" spans="1:8" ht="15.5" x14ac:dyDescent="0.35">
      <c r="A69" s="37">
        <v>14</v>
      </c>
      <c r="B69" s="78">
        <v>1000000</v>
      </c>
      <c r="C69" s="82">
        <v>0</v>
      </c>
      <c r="D69" s="80">
        <f t="shared" si="4"/>
        <v>1000000</v>
      </c>
      <c r="F69" s="67">
        <f t="shared" si="5"/>
        <v>8613799.4515487179</v>
      </c>
      <c r="G69" s="67">
        <f t="shared" si="6"/>
        <v>10667598.903097436</v>
      </c>
      <c r="H69" s="67">
        <f t="shared" si="7"/>
        <v>75868997.257743582</v>
      </c>
    </row>
    <row r="70" spans="1:8" ht="15.5" x14ac:dyDescent="0.35">
      <c r="A70" s="37">
        <v>15</v>
      </c>
      <c r="B70" s="78">
        <v>1000000</v>
      </c>
      <c r="C70" s="82">
        <v>0</v>
      </c>
      <c r="D70" s="80">
        <f t="shared" si="4"/>
        <v>1000000</v>
      </c>
      <c r="F70" s="67">
        <f t="shared" si="5"/>
        <v>8613799.4515487179</v>
      </c>
      <c r="G70" s="67">
        <f t="shared" si="6"/>
        <v>10667598.903097436</v>
      </c>
      <c r="H70" s="67">
        <f t="shared" si="7"/>
        <v>75868997.257743582</v>
      </c>
    </row>
    <row r="71" spans="1:8" ht="15.5" x14ac:dyDescent="0.35">
      <c r="A71" s="37">
        <v>16</v>
      </c>
      <c r="B71" s="78">
        <v>1000000</v>
      </c>
      <c r="C71" s="82">
        <v>0</v>
      </c>
      <c r="D71" s="80">
        <f t="shared" si="4"/>
        <v>1000000</v>
      </c>
      <c r="F71" s="67">
        <f t="shared" si="5"/>
        <v>8613799.4515487179</v>
      </c>
      <c r="G71" s="67">
        <f t="shared" si="6"/>
        <v>10667598.903097436</v>
      </c>
      <c r="H71" s="67">
        <f t="shared" si="7"/>
        <v>75868997.257743582</v>
      </c>
    </row>
    <row r="72" spans="1:8" ht="15.5" x14ac:dyDescent="0.35">
      <c r="A72" s="37">
        <v>17</v>
      </c>
      <c r="B72" s="78">
        <v>1000000</v>
      </c>
      <c r="C72" s="82">
        <v>0</v>
      </c>
      <c r="D72" s="80">
        <f t="shared" si="4"/>
        <v>1000000</v>
      </c>
      <c r="F72" s="67">
        <f t="shared" si="5"/>
        <v>8613799.4515487179</v>
      </c>
      <c r="G72" s="67">
        <f t="shared" si="6"/>
        <v>10667598.903097436</v>
      </c>
      <c r="H72" s="67">
        <f t="shared" si="7"/>
        <v>75868997.257743582</v>
      </c>
    </row>
    <row r="73" spans="1:8" ht="15.5" x14ac:dyDescent="0.35">
      <c r="A73" s="37">
        <v>18</v>
      </c>
      <c r="B73" s="78">
        <v>1000000</v>
      </c>
      <c r="C73" s="82">
        <v>0</v>
      </c>
      <c r="D73" s="80">
        <f t="shared" si="4"/>
        <v>1000000</v>
      </c>
      <c r="F73" s="67">
        <f t="shared" si="5"/>
        <v>8613799.4515487179</v>
      </c>
      <c r="G73" s="67">
        <f t="shared" si="6"/>
        <v>10667598.903097436</v>
      </c>
      <c r="H73" s="67">
        <f t="shared" si="7"/>
        <v>75868997.257743582</v>
      </c>
    </row>
    <row r="74" spans="1:8" ht="15.5" x14ac:dyDescent="0.35">
      <c r="A74" s="37">
        <v>19</v>
      </c>
      <c r="B74" s="78">
        <v>1000000</v>
      </c>
      <c r="C74" s="82">
        <v>0</v>
      </c>
      <c r="D74" s="80">
        <f t="shared" si="4"/>
        <v>1000000</v>
      </c>
      <c r="F74" s="67">
        <f t="shared" si="5"/>
        <v>8613799.4515487179</v>
      </c>
      <c r="G74" s="67">
        <f t="shared" si="6"/>
        <v>10667598.903097436</v>
      </c>
      <c r="H74" s="67">
        <f t="shared" si="7"/>
        <v>75868997.257743582</v>
      </c>
    </row>
    <row r="75" spans="1:8" ht="15.5" x14ac:dyDescent="0.35">
      <c r="A75" s="37">
        <v>20</v>
      </c>
      <c r="B75" s="78">
        <v>1000000</v>
      </c>
      <c r="C75" s="82">
        <v>0</v>
      </c>
      <c r="D75" s="80">
        <f t="shared" si="4"/>
        <v>1000000</v>
      </c>
      <c r="F75" s="67">
        <f t="shared" si="5"/>
        <v>8613799.4515487179</v>
      </c>
      <c r="G75" s="67">
        <f t="shared" si="6"/>
        <v>10667598.903097436</v>
      </c>
      <c r="H75" s="67">
        <f t="shared" si="7"/>
        <v>75868997.257743582</v>
      </c>
    </row>
    <row r="76" spans="1:8" ht="15.5" x14ac:dyDescent="0.35">
      <c r="A76" s="40" t="s">
        <v>8</v>
      </c>
      <c r="B76" s="83"/>
      <c r="C76" s="83"/>
      <c r="D76" s="80">
        <f>SUM(D56:D75)</f>
        <v>49323999.971047223</v>
      </c>
      <c r="E76" s="13"/>
      <c r="F76" s="84">
        <f>SUM(F56:F75)</f>
        <v>137820791.22477955</v>
      </c>
      <c r="G76" s="84">
        <f t="shared" ref="G76:H76" si="8">SUM(G56:G75)</f>
        <v>170681582.44955903</v>
      </c>
      <c r="H76" s="84">
        <f t="shared" si="8"/>
        <v>1213903956.1238976</v>
      </c>
    </row>
    <row r="77" spans="1:8" ht="15.5" x14ac:dyDescent="0.35">
      <c r="H77" s="13"/>
    </row>
    <row r="78" spans="1:8" ht="161" customHeight="1" x14ac:dyDescent="0.35">
      <c r="A78" s="98" t="s">
        <v>87</v>
      </c>
      <c r="B78" s="31"/>
      <c r="C78" s="85"/>
      <c r="H78" s="13"/>
    </row>
    <row r="79" spans="1:8" ht="15.5" x14ac:dyDescent="0.35">
      <c r="A79" s="31"/>
      <c r="B79" s="31"/>
      <c r="C79" s="31"/>
      <c r="D79" s="13"/>
      <c r="E79" s="13"/>
      <c r="F79" s="13"/>
      <c r="G79" s="13"/>
      <c r="H79" s="13"/>
    </row>
    <row r="80" spans="1:8" ht="15.5" x14ac:dyDescent="0.35">
      <c r="A80" s="31" t="s">
        <v>23</v>
      </c>
      <c r="B80" s="37"/>
      <c r="C80" s="85">
        <v>1000000</v>
      </c>
      <c r="D80" s="13"/>
      <c r="E80" s="13"/>
      <c r="F80" s="13"/>
      <c r="G80" s="13"/>
      <c r="H80" s="13"/>
    </row>
    <row r="81" spans="1:8" ht="15.5" x14ac:dyDescent="0.35">
      <c r="A81" s="115"/>
      <c r="D81" s="13"/>
      <c r="E81" s="13"/>
      <c r="F81" s="13"/>
      <c r="G81" s="13"/>
      <c r="H81" s="13"/>
    </row>
    <row r="82" spans="1:8" ht="15.5" x14ac:dyDescent="0.35">
      <c r="A82" s="13"/>
      <c r="B82" s="13"/>
      <c r="C82" s="13"/>
      <c r="D82" s="13"/>
      <c r="E82" s="13"/>
      <c r="F82" s="13"/>
      <c r="G82" s="13"/>
      <c r="H82" s="13"/>
    </row>
    <row r="83" spans="1:8" ht="25" x14ac:dyDescent="0.5">
      <c r="D83" s="41" t="s">
        <v>98</v>
      </c>
      <c r="E83" s="42"/>
      <c r="F83" s="43"/>
      <c r="G83" s="42"/>
      <c r="H83" s="13"/>
    </row>
    <row r="84" spans="1:8" ht="15.5" x14ac:dyDescent="0.35">
      <c r="D84" s="42" t="s">
        <v>80</v>
      </c>
      <c r="E84" s="44" t="s">
        <v>55</v>
      </c>
      <c r="F84" s="44" t="s">
        <v>56</v>
      </c>
      <c r="G84" s="44" t="s">
        <v>16</v>
      </c>
      <c r="H84" s="13"/>
    </row>
    <row r="85" spans="1:8" ht="15.5" x14ac:dyDescent="0.35">
      <c r="D85" s="42">
        <v>1</v>
      </c>
      <c r="E85" s="86">
        <f t="shared" ref="E85:E104" si="9">F56-D56</f>
        <v>-2066966.649563889</v>
      </c>
      <c r="F85" s="86">
        <f t="shared" ref="F85:F104" si="10">G56-D56</f>
        <v>-2066966.649563889</v>
      </c>
      <c r="G85" s="86">
        <f t="shared" ref="G85:G104" si="11">H56-D56</f>
        <v>-2066966.649563889</v>
      </c>
      <c r="H85" s="13"/>
    </row>
    <row r="86" spans="1:8" ht="15.5" x14ac:dyDescent="0.35">
      <c r="D86" s="42">
        <v>2</v>
      </c>
      <c r="E86" s="86">
        <f t="shared" si="9"/>
        <v>-5749606.720296666</v>
      </c>
      <c r="F86" s="86">
        <f t="shared" si="10"/>
        <v>-5749606.720296666</v>
      </c>
      <c r="G86" s="86">
        <f t="shared" si="11"/>
        <v>-5749606.720296666</v>
      </c>
      <c r="H86" s="13"/>
    </row>
    <row r="87" spans="1:8" ht="15.5" x14ac:dyDescent="0.35">
      <c r="D87" s="42">
        <v>3</v>
      </c>
      <c r="E87" s="86">
        <f t="shared" si="9"/>
        <v>-4026846.8299869224</v>
      </c>
      <c r="F87" s="86">
        <f t="shared" si="10"/>
        <v>-3616086.9396771789</v>
      </c>
      <c r="G87" s="86">
        <f t="shared" si="11"/>
        <v>9424192.7312520519</v>
      </c>
      <c r="H87" s="13"/>
    </row>
    <row r="88" spans="1:8" ht="15.5" x14ac:dyDescent="0.35">
      <c r="D88" s="42">
        <v>4</v>
      </c>
      <c r="E88" s="86">
        <f t="shared" si="9"/>
        <v>-2404086.9396771789</v>
      </c>
      <c r="F88" s="86">
        <f t="shared" si="10"/>
        <v>-1582567.1590576917</v>
      </c>
      <c r="G88" s="86">
        <f t="shared" si="11"/>
        <v>24497992.18280077</v>
      </c>
      <c r="H88" s="13"/>
    </row>
    <row r="89" spans="1:8" ht="15.5" x14ac:dyDescent="0.35">
      <c r="D89" s="42">
        <v>5</v>
      </c>
      <c r="E89" s="86">
        <f t="shared" si="9"/>
        <v>-781327.04936743528</v>
      </c>
      <c r="F89" s="86">
        <f t="shared" si="10"/>
        <v>450952.62156179547</v>
      </c>
      <c r="G89" s="86">
        <f t="shared" si="11"/>
        <v>39571791.634349488</v>
      </c>
      <c r="H89" s="13"/>
    </row>
    <row r="90" spans="1:8" ht="15.5" x14ac:dyDescent="0.35">
      <c r="D90" s="42">
        <v>6</v>
      </c>
      <c r="E90" s="86">
        <f t="shared" si="9"/>
        <v>741432.84094230738</v>
      </c>
      <c r="F90" s="86">
        <f t="shared" si="10"/>
        <v>2384472.4021812817</v>
      </c>
      <c r="G90" s="86">
        <f t="shared" si="11"/>
        <v>54545591.085898206</v>
      </c>
      <c r="H90" s="13"/>
    </row>
    <row r="91" spans="1:8" ht="15.5" x14ac:dyDescent="0.35">
      <c r="D91" s="42">
        <v>7</v>
      </c>
      <c r="E91" s="86">
        <f t="shared" si="9"/>
        <v>3804799.7315487182</v>
      </c>
      <c r="F91" s="86">
        <f t="shared" si="10"/>
        <v>5858599.1830974361</v>
      </c>
      <c r="G91" s="86">
        <f t="shared" si="11"/>
        <v>71059997.537743598</v>
      </c>
      <c r="H91" s="13"/>
    </row>
    <row r="92" spans="1:8" ht="15.5" x14ac:dyDescent="0.35">
      <c r="D92" s="42">
        <v>8</v>
      </c>
      <c r="E92" s="86">
        <f t="shared" si="9"/>
        <v>7613799.4515487179</v>
      </c>
      <c r="F92" s="86">
        <f t="shared" si="10"/>
        <v>9667598.9030974358</v>
      </c>
      <c r="G92" s="86">
        <f t="shared" si="11"/>
        <v>74868997.257743582</v>
      </c>
      <c r="H92" s="13"/>
    </row>
    <row r="93" spans="1:8" ht="15.5" x14ac:dyDescent="0.35">
      <c r="D93" s="42">
        <v>9</v>
      </c>
      <c r="E93" s="86">
        <f t="shared" si="9"/>
        <v>7613799.4515487179</v>
      </c>
      <c r="F93" s="86">
        <f t="shared" si="10"/>
        <v>9667598.9030974358</v>
      </c>
      <c r="G93" s="86">
        <f t="shared" si="11"/>
        <v>74868997.257743582</v>
      </c>
      <c r="H93" s="13"/>
    </row>
    <row r="94" spans="1:8" ht="15.5" x14ac:dyDescent="0.35">
      <c r="D94" s="42">
        <v>10</v>
      </c>
      <c r="E94" s="86">
        <f t="shared" si="9"/>
        <v>7613799.4515487179</v>
      </c>
      <c r="F94" s="86">
        <f t="shared" si="10"/>
        <v>9667598.9030974358</v>
      </c>
      <c r="G94" s="86">
        <f t="shared" si="11"/>
        <v>74868997.257743582</v>
      </c>
      <c r="H94" s="13"/>
    </row>
    <row r="95" spans="1:8" ht="15.5" x14ac:dyDescent="0.35">
      <c r="D95" s="42">
        <v>11</v>
      </c>
      <c r="E95" s="86">
        <f t="shared" si="9"/>
        <v>7613799.4515487179</v>
      </c>
      <c r="F95" s="86">
        <f t="shared" si="10"/>
        <v>9667598.9030974358</v>
      </c>
      <c r="G95" s="86">
        <f t="shared" si="11"/>
        <v>74868997.257743582</v>
      </c>
      <c r="H95" s="13"/>
    </row>
    <row r="96" spans="1:8" ht="15.5" x14ac:dyDescent="0.35">
      <c r="D96" s="42">
        <v>12</v>
      </c>
      <c r="E96" s="86">
        <f t="shared" si="9"/>
        <v>7613799.4515487179</v>
      </c>
      <c r="F96" s="86">
        <f t="shared" si="10"/>
        <v>9667598.9030974358</v>
      </c>
      <c r="G96" s="86">
        <f t="shared" si="11"/>
        <v>74868997.257743582</v>
      </c>
      <c r="H96" s="13"/>
    </row>
    <row r="97" spans="1:8" ht="15.5" x14ac:dyDescent="0.35">
      <c r="D97" s="42">
        <v>13</v>
      </c>
      <c r="E97" s="86">
        <f t="shared" si="9"/>
        <v>7613799.4515487179</v>
      </c>
      <c r="F97" s="86">
        <f t="shared" si="10"/>
        <v>9667598.9030974358</v>
      </c>
      <c r="G97" s="86">
        <f t="shared" si="11"/>
        <v>74868997.257743582</v>
      </c>
      <c r="H97" s="13"/>
    </row>
    <row r="98" spans="1:8" ht="15.5" x14ac:dyDescent="0.35">
      <c r="D98" s="42">
        <v>14</v>
      </c>
      <c r="E98" s="86">
        <f t="shared" si="9"/>
        <v>7613799.4515487179</v>
      </c>
      <c r="F98" s="86">
        <f t="shared" si="10"/>
        <v>9667598.9030974358</v>
      </c>
      <c r="G98" s="86">
        <f t="shared" si="11"/>
        <v>74868997.257743582</v>
      </c>
      <c r="H98" s="13"/>
    </row>
    <row r="99" spans="1:8" ht="15.5" x14ac:dyDescent="0.35">
      <c r="D99" s="42">
        <v>15</v>
      </c>
      <c r="E99" s="86">
        <f t="shared" si="9"/>
        <v>7613799.4515487179</v>
      </c>
      <c r="F99" s="86">
        <f t="shared" si="10"/>
        <v>9667598.9030974358</v>
      </c>
      <c r="G99" s="86">
        <f t="shared" si="11"/>
        <v>74868997.257743582</v>
      </c>
      <c r="H99" s="13"/>
    </row>
    <row r="100" spans="1:8" ht="15.5" x14ac:dyDescent="0.35">
      <c r="D100" s="42">
        <v>16</v>
      </c>
      <c r="E100" s="86">
        <f t="shared" si="9"/>
        <v>7613799.4515487179</v>
      </c>
      <c r="F100" s="86">
        <f t="shared" si="10"/>
        <v>9667598.9030974358</v>
      </c>
      <c r="G100" s="86">
        <f t="shared" si="11"/>
        <v>74868997.257743582</v>
      </c>
      <c r="H100" s="13"/>
    </row>
    <row r="101" spans="1:8" ht="15.5" x14ac:dyDescent="0.35">
      <c r="D101" s="42">
        <v>17</v>
      </c>
      <c r="E101" s="86">
        <f t="shared" si="9"/>
        <v>7613799.4515487179</v>
      </c>
      <c r="F101" s="86">
        <f t="shared" si="10"/>
        <v>9667598.9030974358</v>
      </c>
      <c r="G101" s="86">
        <f t="shared" si="11"/>
        <v>74868997.257743582</v>
      </c>
      <c r="H101" s="13"/>
    </row>
    <row r="102" spans="1:8" ht="15.5" x14ac:dyDescent="0.35">
      <c r="D102" s="42">
        <v>18</v>
      </c>
      <c r="E102" s="86">
        <f t="shared" si="9"/>
        <v>7613799.4515487179</v>
      </c>
      <c r="F102" s="86">
        <f t="shared" si="10"/>
        <v>9667598.9030974358</v>
      </c>
      <c r="G102" s="86">
        <f t="shared" si="11"/>
        <v>74868997.257743582</v>
      </c>
      <c r="H102" s="13"/>
    </row>
    <row r="103" spans="1:8" ht="15.5" x14ac:dyDescent="0.35">
      <c r="D103" s="42">
        <v>19</v>
      </c>
      <c r="E103" s="86">
        <f t="shared" si="9"/>
        <v>7613799.4515487179</v>
      </c>
      <c r="F103" s="86">
        <f t="shared" si="10"/>
        <v>9667598.9030974358</v>
      </c>
      <c r="G103" s="86">
        <f t="shared" si="11"/>
        <v>74868997.257743582</v>
      </c>
      <c r="H103" s="13"/>
    </row>
    <row r="104" spans="1:8" ht="15.5" x14ac:dyDescent="0.35">
      <c r="D104" s="42">
        <v>20</v>
      </c>
      <c r="E104" s="86">
        <f t="shared" si="9"/>
        <v>7613799.4515487179</v>
      </c>
      <c r="F104" s="86">
        <f t="shared" si="10"/>
        <v>9667598.9030974358</v>
      </c>
      <c r="G104" s="86">
        <f t="shared" si="11"/>
        <v>74868997.257743582</v>
      </c>
      <c r="H104" s="13"/>
    </row>
    <row r="105" spans="1:8" ht="15.5" x14ac:dyDescent="0.35">
      <c r="D105" s="44" t="s">
        <v>62</v>
      </c>
      <c r="E105" s="87">
        <f>SUM(E85:E104)</f>
        <v>88496791.253732294</v>
      </c>
      <c r="F105" s="87">
        <f>SUM(F85:F104)</f>
        <v>121357582.47851175</v>
      </c>
      <c r="G105" s="87">
        <f>SUM(G85:G104)</f>
        <v>1164579956.1528502</v>
      </c>
      <c r="H105" s="13"/>
    </row>
    <row r="106" spans="1:8" ht="15.5" x14ac:dyDescent="0.35">
      <c r="A106" s="13"/>
      <c r="B106" s="13"/>
      <c r="C106" s="13"/>
      <c r="D106" s="13"/>
      <c r="E106" s="13"/>
      <c r="F106" s="13"/>
      <c r="G106" s="13"/>
      <c r="H106" s="13"/>
    </row>
    <row r="107" spans="1:8" ht="50" x14ac:dyDescent="0.5">
      <c r="A107" s="45" t="s">
        <v>89</v>
      </c>
      <c r="B107" s="13"/>
      <c r="C107" s="13"/>
      <c r="G107" s="13"/>
      <c r="H107" s="13"/>
    </row>
    <row r="108" spans="1:8" ht="15.5" x14ac:dyDescent="0.35">
      <c r="A108" s="43"/>
      <c r="B108" s="13"/>
      <c r="C108" s="13"/>
      <c r="G108" s="13"/>
      <c r="H108" s="13"/>
    </row>
    <row r="109" spans="1:8" ht="15.5" x14ac:dyDescent="0.35">
      <c r="A109" s="44" t="s">
        <v>55</v>
      </c>
      <c r="B109" s="42"/>
      <c r="C109" s="42"/>
      <c r="H109" s="13"/>
    </row>
    <row r="110" spans="1:8" ht="25" x14ac:dyDescent="0.5">
      <c r="A110" s="42" t="s">
        <v>107</v>
      </c>
      <c r="B110" s="42" t="s">
        <v>108</v>
      </c>
      <c r="C110" s="42" t="s">
        <v>109</v>
      </c>
      <c r="E110" s="46" t="s">
        <v>24</v>
      </c>
      <c r="G110" s="13"/>
      <c r="H110" s="13"/>
    </row>
    <row r="111" spans="1:8" ht="15.5" x14ac:dyDescent="0.35">
      <c r="A111" s="87">
        <f>NPV(D8,E85:E104)</f>
        <v>88496791.253732294</v>
      </c>
      <c r="B111" s="87">
        <f>NPV(D9,E85:E104)</f>
        <v>40833569.798125803</v>
      </c>
      <c r="C111" s="87">
        <f>NPV(D10,E85:E104)</f>
        <v>18340987.977345005</v>
      </c>
      <c r="E111" s="47" t="s">
        <v>110</v>
      </c>
      <c r="F111" s="48"/>
      <c r="G111" s="49"/>
      <c r="H111" s="13"/>
    </row>
    <row r="112" spans="1:8" ht="15.5" x14ac:dyDescent="0.35">
      <c r="A112" s="13"/>
      <c r="B112" s="13"/>
      <c r="C112" s="13"/>
      <c r="E112" s="49" t="s">
        <v>55</v>
      </c>
      <c r="F112" s="48" t="s">
        <v>56</v>
      </c>
      <c r="G112" s="49" t="s">
        <v>16</v>
      </c>
      <c r="H112" s="13"/>
    </row>
    <row r="113" spans="1:8" ht="15.5" x14ac:dyDescent="0.35">
      <c r="A113" s="44" t="s">
        <v>56</v>
      </c>
      <c r="B113" s="42"/>
      <c r="C113" s="42"/>
      <c r="E113" s="50">
        <f>A111/A123</f>
        <v>1.7941933197972422</v>
      </c>
      <c r="F113" s="51">
        <f>A115/A123</f>
        <v>2.4604164818292849</v>
      </c>
      <c r="G113" s="50">
        <f>A119/A123</f>
        <v>23.610817387812197</v>
      </c>
      <c r="H113" s="13"/>
    </row>
    <row r="114" spans="1:8" ht="15.5" x14ac:dyDescent="0.35">
      <c r="A114" s="42" t="s">
        <v>107</v>
      </c>
      <c r="B114" s="42" t="s">
        <v>108</v>
      </c>
      <c r="C114" s="42" t="s">
        <v>109</v>
      </c>
      <c r="E114" s="49"/>
      <c r="F114" s="48"/>
      <c r="G114" s="49"/>
      <c r="H114" s="13"/>
    </row>
    <row r="115" spans="1:8" ht="15.5" x14ac:dyDescent="0.35">
      <c r="A115" s="87">
        <f>NPV(D8,F85:F104)</f>
        <v>121357582.47851175</v>
      </c>
      <c r="B115" s="87">
        <f>NPV(D9,F85:F104)</f>
        <v>59226277.959019274</v>
      </c>
      <c r="C115" s="87">
        <f>NPV(D10,F85:F104)</f>
        <v>29443629.211039755</v>
      </c>
      <c r="E115" s="47" t="s">
        <v>111</v>
      </c>
      <c r="F115" s="48"/>
      <c r="G115" s="49"/>
      <c r="H115" s="13"/>
    </row>
    <row r="116" spans="1:8" ht="15.5" x14ac:dyDescent="0.35">
      <c r="A116" s="13"/>
      <c r="B116" s="13"/>
      <c r="C116" s="13"/>
      <c r="E116" s="49" t="s">
        <v>55</v>
      </c>
      <c r="F116" s="48" t="s">
        <v>56</v>
      </c>
      <c r="G116" s="49" t="s">
        <v>16</v>
      </c>
      <c r="H116" s="13"/>
    </row>
    <row r="117" spans="1:8" ht="15.5" x14ac:dyDescent="0.35">
      <c r="A117" s="44" t="s">
        <v>16</v>
      </c>
      <c r="B117" s="42"/>
      <c r="C117" s="42"/>
      <c r="E117" s="50">
        <f>B111/B123</f>
        <v>1.1246772709229949</v>
      </c>
      <c r="F117" s="51">
        <f>B115/B123</f>
        <v>1.6312668471355112</v>
      </c>
      <c r="G117" s="50">
        <f>B119/B123</f>
        <v>17.713824828167361</v>
      </c>
      <c r="H117" s="13"/>
    </row>
    <row r="118" spans="1:8" ht="15.5" x14ac:dyDescent="0.35">
      <c r="A118" s="42" t="s">
        <v>107</v>
      </c>
      <c r="B118" s="42" t="s">
        <v>108</v>
      </c>
      <c r="C118" s="42" t="s">
        <v>109</v>
      </c>
      <c r="E118" s="49"/>
      <c r="F118" s="48"/>
      <c r="G118" s="49"/>
      <c r="H118" s="13"/>
    </row>
    <row r="119" spans="1:8" ht="15.5" x14ac:dyDescent="0.35">
      <c r="A119" s="87">
        <f>NPV(D8,G85:G104)</f>
        <v>1164579956.1528502</v>
      </c>
      <c r="B119" s="87">
        <f>NPV(D9,G85:G104)</f>
        <v>643134453.9568547</v>
      </c>
      <c r="C119" s="87">
        <f>NPV(D10,G85:G104)</f>
        <v>381916083.77371424</v>
      </c>
      <c r="E119" s="47" t="s">
        <v>112</v>
      </c>
      <c r="F119" s="48"/>
      <c r="G119" s="49"/>
      <c r="H119" s="13"/>
    </row>
    <row r="120" spans="1:8" ht="15.5" x14ac:dyDescent="0.35">
      <c r="D120" s="13"/>
      <c r="E120" s="49" t="s">
        <v>55</v>
      </c>
      <c r="F120" s="48" t="s">
        <v>56</v>
      </c>
      <c r="G120" s="49" t="s">
        <v>16</v>
      </c>
      <c r="H120" s="13"/>
    </row>
    <row r="121" spans="1:8" ht="25" x14ac:dyDescent="0.5">
      <c r="A121" s="34" t="s">
        <v>94</v>
      </c>
      <c r="B121" s="32"/>
      <c r="C121" s="31"/>
      <c r="E121" s="50">
        <f>C111/C123</f>
        <v>0.64982786821863081</v>
      </c>
      <c r="F121" s="51">
        <f>C115/C123</f>
        <v>1.0431984812630284</v>
      </c>
      <c r="G121" s="50">
        <f>C119/C123</f>
        <v>13.531425616964317</v>
      </c>
      <c r="H121" s="13"/>
    </row>
    <row r="122" spans="1:8" ht="15.5" x14ac:dyDescent="0.35">
      <c r="A122" s="52">
        <v>0</v>
      </c>
      <c r="B122" s="52">
        <v>0.05</v>
      </c>
      <c r="C122" s="52">
        <v>0.1</v>
      </c>
      <c r="G122" s="13"/>
      <c r="H122" s="13"/>
    </row>
    <row r="123" spans="1:8" ht="15.5" x14ac:dyDescent="0.35">
      <c r="A123" s="88">
        <f>NPV(A122,D56:D75)</f>
        <v>49323999.971047223</v>
      </c>
      <c r="B123" s="88">
        <f>NPV(B122,D56:D75)</f>
        <v>36306921.864451572</v>
      </c>
      <c r="C123" s="88">
        <f>NPV(C122,D56:D75)</f>
        <v>28224378.907637563</v>
      </c>
      <c r="G123" s="13"/>
      <c r="H123" s="13"/>
    </row>
    <row r="124" spans="1:8" ht="15.5" x14ac:dyDescent="0.35">
      <c r="D124" s="13"/>
      <c r="E124" s="13"/>
      <c r="F124" s="13"/>
      <c r="G124" s="13"/>
      <c r="H124" s="13"/>
    </row>
    <row r="125" spans="1:8" ht="15.5" x14ac:dyDescent="0.35">
      <c r="G125" s="13"/>
      <c r="H125" s="13"/>
    </row>
    <row r="126" spans="1:8" ht="15.5" x14ac:dyDescent="0.35">
      <c r="G126" s="13"/>
      <c r="H126" s="13"/>
    </row>
    <row r="127" spans="1:8" ht="15.5" x14ac:dyDescent="0.35">
      <c r="G127" s="13"/>
      <c r="H127" s="13"/>
    </row>
    <row r="128" spans="1:8" ht="15.5" x14ac:dyDescent="0.35">
      <c r="G128" s="13"/>
      <c r="H128" s="13"/>
    </row>
    <row r="129" spans="1:8" ht="15.5" x14ac:dyDescent="0.35">
      <c r="G129" s="13"/>
      <c r="H129" s="13"/>
    </row>
    <row r="130" spans="1:8" ht="15.5" x14ac:dyDescent="0.35">
      <c r="G130" s="13"/>
      <c r="H130" s="13"/>
    </row>
    <row r="131" spans="1:8" ht="15.5" x14ac:dyDescent="0.35">
      <c r="G131" s="13"/>
      <c r="H131" s="13"/>
    </row>
    <row r="132" spans="1:8" ht="15.5" x14ac:dyDescent="0.35">
      <c r="G132" s="13"/>
      <c r="H132" s="13"/>
    </row>
    <row r="133" spans="1:8" ht="15.5" x14ac:dyDescent="0.35">
      <c r="G133" s="13"/>
      <c r="H133" s="13"/>
    </row>
    <row r="134" spans="1:8" ht="15.5" x14ac:dyDescent="0.35">
      <c r="G134" s="13"/>
      <c r="H134" s="13"/>
    </row>
    <row r="135" spans="1:8" ht="15.5" x14ac:dyDescent="0.35">
      <c r="A135" s="13"/>
      <c r="B135" s="13"/>
      <c r="C135" s="13"/>
      <c r="G135" s="13"/>
      <c r="H135" s="13"/>
    </row>
    <row r="136" spans="1:8" ht="15.5" x14ac:dyDescent="0.35">
      <c r="D136" s="13"/>
      <c r="E136" s="13"/>
      <c r="F136" s="13"/>
    </row>
  </sheetData>
  <mergeCells count="2">
    <mergeCell ref="A51:C51"/>
    <mergeCell ref="C45:I45"/>
  </mergeCells>
  <phoneticPr fontId="3"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8D9B1-618A-4AD0-AE8D-69EF227A3715}">
  <dimension ref="A2:I25"/>
  <sheetViews>
    <sheetView topLeftCell="A20" zoomScale="60" zoomScaleNormal="60" workbookViewId="0">
      <selection activeCell="G6" sqref="G6:I25"/>
    </sheetView>
  </sheetViews>
  <sheetFormatPr baseColWidth="10" defaultColWidth="8.81640625" defaultRowHeight="14.5" x14ac:dyDescent="0.35"/>
  <cols>
    <col min="2" max="2" width="33.6328125" customWidth="1"/>
    <col min="3" max="3" width="28.36328125" customWidth="1"/>
    <col min="4" max="4" width="30.6328125" bestFit="1" customWidth="1"/>
    <col min="5" max="5" width="28.36328125" customWidth="1"/>
    <col min="6" max="6" width="29.6328125" customWidth="1"/>
    <col min="7" max="7" width="27" customWidth="1"/>
    <col min="8" max="8" width="24.36328125" customWidth="1"/>
    <col min="9" max="9" width="21.453125" customWidth="1"/>
  </cols>
  <sheetData>
    <row r="2" spans="1:9" ht="26" x14ac:dyDescent="0.6">
      <c r="D2" s="5" t="s">
        <v>103</v>
      </c>
    </row>
    <row r="3" spans="1:9" x14ac:dyDescent="0.35">
      <c r="A3" s="113"/>
      <c r="B3" s="7" t="s">
        <v>25</v>
      </c>
      <c r="C3" s="1"/>
      <c r="D3" s="1" t="s">
        <v>20</v>
      </c>
      <c r="E3" s="1"/>
      <c r="F3" s="123" t="s">
        <v>104</v>
      </c>
      <c r="G3" s="123"/>
      <c r="H3" s="123"/>
      <c r="I3" s="123"/>
    </row>
    <row r="4" spans="1:9" ht="17.75" customHeight="1" x14ac:dyDescent="0.35">
      <c r="A4" s="113"/>
      <c r="B4" s="7"/>
      <c r="C4" s="1"/>
      <c r="D4" s="1"/>
      <c r="E4" s="1"/>
      <c r="F4" s="4"/>
      <c r="G4" s="8"/>
      <c r="H4" s="8"/>
      <c r="I4" s="8"/>
    </row>
    <row r="5" spans="1:9" x14ac:dyDescent="0.35">
      <c r="A5" s="114" t="s">
        <v>21</v>
      </c>
      <c r="B5" s="3" t="s">
        <v>93</v>
      </c>
      <c r="C5" s="63" t="s">
        <v>105</v>
      </c>
      <c r="D5" s="63" t="s">
        <v>97</v>
      </c>
      <c r="E5" s="63" t="s">
        <v>106</v>
      </c>
      <c r="F5" s="119" t="s">
        <v>80</v>
      </c>
      <c r="G5" s="118" t="s">
        <v>67</v>
      </c>
      <c r="H5" s="118" t="s">
        <v>57</v>
      </c>
      <c r="I5" s="118" t="s">
        <v>58</v>
      </c>
    </row>
    <row r="6" spans="1:9" x14ac:dyDescent="0.35">
      <c r="A6" s="113">
        <v>1</v>
      </c>
      <c r="B6" s="89">
        <v>-2066966.64956389</v>
      </c>
      <c r="C6" s="90">
        <v>0</v>
      </c>
      <c r="D6" s="90">
        <v>0</v>
      </c>
      <c r="E6" s="90">
        <v>0</v>
      </c>
      <c r="F6" s="2">
        <v>1</v>
      </c>
      <c r="G6" s="91">
        <f>C6+B6</f>
        <v>-2066966.64956389</v>
      </c>
      <c r="H6" s="91">
        <f>D6+B6</f>
        <v>-2066966.64956389</v>
      </c>
      <c r="I6" s="91">
        <f>E6+B6</f>
        <v>-2066966.64956389</v>
      </c>
    </row>
    <row r="7" spans="1:9" x14ac:dyDescent="0.35">
      <c r="A7" s="113">
        <v>2</v>
      </c>
      <c r="B7" s="89">
        <v>-5749606.7202966698</v>
      </c>
      <c r="C7" s="90">
        <v>0</v>
      </c>
      <c r="D7" s="90">
        <v>0</v>
      </c>
      <c r="E7" s="90">
        <v>0</v>
      </c>
      <c r="F7" s="2">
        <v>2</v>
      </c>
      <c r="G7" s="91">
        <f t="shared" ref="G7:G25" si="0">G6+B7+C7</f>
        <v>-7816573.3698605597</v>
      </c>
      <c r="H7" s="91">
        <f t="shared" ref="H7:H25" si="1">H6+B7+D7</f>
        <v>-7816573.3698605597</v>
      </c>
      <c r="I7" s="91">
        <f t="shared" ref="I7:I25" si="2">I6+E7+B7</f>
        <v>-7816573.3698605597</v>
      </c>
    </row>
    <row r="8" spans="1:9" x14ac:dyDescent="0.35">
      <c r="A8" s="113">
        <v>3</v>
      </c>
      <c r="B8" s="89">
        <v>-5749606.7202966698</v>
      </c>
      <c r="C8" s="90">
        <v>1722759.8903097436</v>
      </c>
      <c r="D8" s="90">
        <v>2133519.7806194872</v>
      </c>
      <c r="E8" s="90">
        <v>15173799.451548718</v>
      </c>
      <c r="F8" s="2">
        <v>3</v>
      </c>
      <c r="G8" s="91">
        <f t="shared" si="0"/>
        <v>-11843420.199847486</v>
      </c>
      <c r="H8" s="91">
        <f t="shared" si="1"/>
        <v>-11432660.309537742</v>
      </c>
      <c r="I8" s="94">
        <f t="shared" si="2"/>
        <v>1607619.3613914885</v>
      </c>
    </row>
    <row r="9" spans="1:9" x14ac:dyDescent="0.35">
      <c r="A9" s="113">
        <v>4</v>
      </c>
      <c r="B9" s="89">
        <v>-5849606.7202966698</v>
      </c>
      <c r="C9" s="90">
        <v>3445519.7806194872</v>
      </c>
      <c r="D9" s="90">
        <v>4267039.5612389743</v>
      </c>
      <c r="E9" s="90">
        <v>30347598.903097436</v>
      </c>
      <c r="F9" s="2">
        <v>4</v>
      </c>
      <c r="G9" s="91">
        <f t="shared" si="0"/>
        <v>-14247507.139524668</v>
      </c>
      <c r="H9" s="91">
        <f t="shared" si="1"/>
        <v>-13015227.468595438</v>
      </c>
      <c r="I9" s="91">
        <f t="shared" si="2"/>
        <v>26105611.544192255</v>
      </c>
    </row>
    <row r="10" spans="1:9" x14ac:dyDescent="0.35">
      <c r="A10" s="113">
        <v>5</v>
      </c>
      <c r="B10" s="89">
        <v>-5949606.7202966698</v>
      </c>
      <c r="C10" s="90">
        <v>5168279.6709292307</v>
      </c>
      <c r="D10" s="90">
        <v>6400559.3418584615</v>
      </c>
      <c r="E10" s="90">
        <v>45521398.354646154</v>
      </c>
      <c r="F10" s="2">
        <v>5</v>
      </c>
      <c r="G10" s="91">
        <f t="shared" si="0"/>
        <v>-15028834.188892107</v>
      </c>
      <c r="H10" s="91">
        <f t="shared" si="1"/>
        <v>-12564274.847033646</v>
      </c>
      <c r="I10" s="91">
        <f t="shared" si="2"/>
        <v>65677403.178541735</v>
      </c>
    </row>
    <row r="11" spans="1:9" x14ac:dyDescent="0.35">
      <c r="A11" s="113">
        <v>6</v>
      </c>
      <c r="B11" s="89">
        <v>-6149606.7202966698</v>
      </c>
      <c r="C11" s="90">
        <v>6891039.5612389743</v>
      </c>
      <c r="D11" s="90">
        <v>8534079.1224779487</v>
      </c>
      <c r="E11" s="90">
        <v>60695197.806194872</v>
      </c>
      <c r="F11" s="2">
        <v>6</v>
      </c>
      <c r="G11" s="91">
        <f t="shared" si="0"/>
        <v>-14287401.347949803</v>
      </c>
      <c r="H11" s="91">
        <f t="shared" si="1"/>
        <v>-10179802.444852367</v>
      </c>
      <c r="I11" s="91">
        <f t="shared" si="2"/>
        <v>120222994.26443994</v>
      </c>
    </row>
    <row r="12" spans="1:9" x14ac:dyDescent="0.35">
      <c r="A12" s="113">
        <v>7</v>
      </c>
      <c r="B12" s="89">
        <v>-4808999.72</v>
      </c>
      <c r="C12" s="90">
        <v>8613799.4515487179</v>
      </c>
      <c r="D12" s="90">
        <v>10667598.903097436</v>
      </c>
      <c r="E12" s="90">
        <v>75868997.257743597</v>
      </c>
      <c r="F12" s="2">
        <v>7</v>
      </c>
      <c r="G12" s="91">
        <f t="shared" si="0"/>
        <v>-10482601.616401084</v>
      </c>
      <c r="H12" s="91">
        <f t="shared" si="1"/>
        <v>-4321203.26175493</v>
      </c>
      <c r="I12" s="91">
        <f t="shared" si="2"/>
        <v>191282991.80218354</v>
      </c>
    </row>
    <row r="13" spans="1:9" x14ac:dyDescent="0.35">
      <c r="A13" s="113">
        <v>8</v>
      </c>
      <c r="B13" s="89">
        <v>-1000000</v>
      </c>
      <c r="C13" s="90">
        <v>8613799.4515487179</v>
      </c>
      <c r="D13" s="90">
        <v>10667598.903097436</v>
      </c>
      <c r="E13" s="90">
        <v>75868997.257743582</v>
      </c>
      <c r="F13" s="2">
        <v>8</v>
      </c>
      <c r="G13" s="91">
        <f t="shared" si="0"/>
        <v>-2868802.1648523659</v>
      </c>
      <c r="H13" s="94">
        <f t="shared" si="1"/>
        <v>5346395.6413425058</v>
      </c>
      <c r="I13" s="91">
        <f t="shared" si="2"/>
        <v>266151989.05992711</v>
      </c>
    </row>
    <row r="14" spans="1:9" x14ac:dyDescent="0.35">
      <c r="A14" s="113">
        <v>9</v>
      </c>
      <c r="B14" s="89">
        <v>-1000000</v>
      </c>
      <c r="C14" s="90">
        <v>8613799.4515487179</v>
      </c>
      <c r="D14" s="90">
        <v>10667598.903097436</v>
      </c>
      <c r="E14" s="90">
        <v>75868997.257743582</v>
      </c>
      <c r="F14" s="2">
        <v>9</v>
      </c>
      <c r="G14" s="94">
        <f t="shared" si="0"/>
        <v>4744997.2866963521</v>
      </c>
      <c r="H14" s="91">
        <f t="shared" si="1"/>
        <v>15013994.544439942</v>
      </c>
      <c r="I14" s="91">
        <f t="shared" si="2"/>
        <v>341020986.3176707</v>
      </c>
    </row>
    <row r="15" spans="1:9" x14ac:dyDescent="0.35">
      <c r="A15" s="113">
        <v>10</v>
      </c>
      <c r="B15" s="89">
        <v>-1000000</v>
      </c>
      <c r="C15" s="90">
        <v>8613799.4515487179</v>
      </c>
      <c r="D15" s="90">
        <v>10667598.903097436</v>
      </c>
      <c r="E15" s="90">
        <v>75868997.257743582</v>
      </c>
      <c r="F15" s="2">
        <v>10</v>
      </c>
      <c r="G15" s="91">
        <f t="shared" si="0"/>
        <v>12358796.73824507</v>
      </c>
      <c r="H15" s="91">
        <f t="shared" si="1"/>
        <v>24681593.447537377</v>
      </c>
      <c r="I15" s="91">
        <f t="shared" si="2"/>
        <v>415889983.5754143</v>
      </c>
    </row>
    <row r="16" spans="1:9" x14ac:dyDescent="0.35">
      <c r="A16" s="113">
        <v>11</v>
      </c>
      <c r="B16" s="89">
        <v>-1000000</v>
      </c>
      <c r="C16" s="90">
        <v>8613799.4515487179</v>
      </c>
      <c r="D16" s="90">
        <v>10667598.903097436</v>
      </c>
      <c r="E16" s="90">
        <v>75868997.257743582</v>
      </c>
      <c r="F16" s="2">
        <v>11</v>
      </c>
      <c r="G16" s="91">
        <f t="shared" si="0"/>
        <v>19972596.189793788</v>
      </c>
      <c r="H16" s="91">
        <f t="shared" si="1"/>
        <v>34349192.350634813</v>
      </c>
      <c r="I16" s="91">
        <f t="shared" si="2"/>
        <v>490758980.8331579</v>
      </c>
    </row>
    <row r="17" spans="1:9" x14ac:dyDescent="0.35">
      <c r="A17" s="113">
        <v>12</v>
      </c>
      <c r="B17" s="89">
        <v>-1000000</v>
      </c>
      <c r="C17" s="90">
        <v>8613799.4515487179</v>
      </c>
      <c r="D17" s="90">
        <v>10667598.903097436</v>
      </c>
      <c r="E17" s="90">
        <v>75868997.257743582</v>
      </c>
      <c r="F17" s="2">
        <v>12</v>
      </c>
      <c r="G17" s="91">
        <f t="shared" si="0"/>
        <v>27586395.641342506</v>
      </c>
      <c r="H17" s="91">
        <f t="shared" si="1"/>
        <v>44016791.253732249</v>
      </c>
      <c r="I17" s="91">
        <f t="shared" si="2"/>
        <v>565627978.09090149</v>
      </c>
    </row>
    <row r="18" spans="1:9" x14ac:dyDescent="0.35">
      <c r="A18" s="113">
        <v>13</v>
      </c>
      <c r="B18" s="89">
        <v>-1000000</v>
      </c>
      <c r="C18" s="90">
        <v>8613799.4515487179</v>
      </c>
      <c r="D18" s="90">
        <v>10667598.903097436</v>
      </c>
      <c r="E18" s="90">
        <v>75868997.257743582</v>
      </c>
      <c r="F18" s="2">
        <v>13</v>
      </c>
      <c r="G18" s="91">
        <f t="shared" si="0"/>
        <v>35200195.092891224</v>
      </c>
      <c r="H18" s="91">
        <f t="shared" si="1"/>
        <v>53684390.156829685</v>
      </c>
      <c r="I18" s="91">
        <f t="shared" si="2"/>
        <v>640496975.34864509</v>
      </c>
    </row>
    <row r="19" spans="1:9" x14ac:dyDescent="0.35">
      <c r="A19" s="113">
        <v>14</v>
      </c>
      <c r="B19" s="89">
        <v>-1000000</v>
      </c>
      <c r="C19" s="90">
        <v>8613799.4515487179</v>
      </c>
      <c r="D19" s="90">
        <v>10667598.903097436</v>
      </c>
      <c r="E19" s="90">
        <v>75868997.257743582</v>
      </c>
      <c r="F19" s="2">
        <v>14</v>
      </c>
      <c r="G19" s="91">
        <f t="shared" si="0"/>
        <v>42813994.544439942</v>
      </c>
      <c r="H19" s="91">
        <f t="shared" si="1"/>
        <v>63351989.059927121</v>
      </c>
      <c r="I19" s="91">
        <f t="shared" si="2"/>
        <v>715365972.60638869</v>
      </c>
    </row>
    <row r="20" spans="1:9" x14ac:dyDescent="0.35">
      <c r="A20" s="113">
        <v>15</v>
      </c>
      <c r="B20" s="89">
        <v>-1000000</v>
      </c>
      <c r="C20" s="90">
        <v>8613799.4515487179</v>
      </c>
      <c r="D20" s="90">
        <v>10667598.903097436</v>
      </c>
      <c r="E20" s="90">
        <v>75868997.257743582</v>
      </c>
      <c r="F20" s="2">
        <v>15</v>
      </c>
      <c r="G20" s="91">
        <f t="shared" si="0"/>
        <v>50427793.99598866</v>
      </c>
      <c r="H20" s="91">
        <f t="shared" si="1"/>
        <v>73019587.963024557</v>
      </c>
      <c r="I20" s="91">
        <f t="shared" si="2"/>
        <v>790234969.86413229</v>
      </c>
    </row>
    <row r="21" spans="1:9" x14ac:dyDescent="0.35">
      <c r="A21" s="113">
        <v>16</v>
      </c>
      <c r="B21" s="89">
        <v>-1000000</v>
      </c>
      <c r="C21" s="90">
        <v>8613799.4515487179</v>
      </c>
      <c r="D21" s="90">
        <v>10667598.903097436</v>
      </c>
      <c r="E21" s="90">
        <v>75868997.257743582</v>
      </c>
      <c r="F21" s="2">
        <v>16</v>
      </c>
      <c r="G21" s="91">
        <f t="shared" si="0"/>
        <v>58041593.447537377</v>
      </c>
      <c r="H21" s="91">
        <f t="shared" si="1"/>
        <v>82687186.866121992</v>
      </c>
      <c r="I21" s="91">
        <f t="shared" si="2"/>
        <v>865103967.12187588</v>
      </c>
    </row>
    <row r="22" spans="1:9" x14ac:dyDescent="0.35">
      <c r="A22" s="113">
        <v>17</v>
      </c>
      <c r="B22" s="89">
        <v>-1000000</v>
      </c>
      <c r="C22" s="90">
        <v>8613799.4515487179</v>
      </c>
      <c r="D22" s="90">
        <v>10667598.903097436</v>
      </c>
      <c r="E22" s="90">
        <v>75868997.257743582</v>
      </c>
      <c r="F22" s="2">
        <v>17</v>
      </c>
      <c r="G22" s="91">
        <f t="shared" si="0"/>
        <v>65655392.899086095</v>
      </c>
      <c r="H22" s="91">
        <f t="shared" si="1"/>
        <v>92354785.769219428</v>
      </c>
      <c r="I22" s="91">
        <f t="shared" si="2"/>
        <v>939972964.37961948</v>
      </c>
    </row>
    <row r="23" spans="1:9" x14ac:dyDescent="0.35">
      <c r="A23" s="113">
        <v>18</v>
      </c>
      <c r="B23" s="89">
        <v>-1000000</v>
      </c>
      <c r="C23" s="90">
        <v>8613799.4515487179</v>
      </c>
      <c r="D23" s="90">
        <v>10667598.903097436</v>
      </c>
      <c r="E23" s="90">
        <v>75868997.257743582</v>
      </c>
      <c r="F23" s="2">
        <v>18</v>
      </c>
      <c r="G23" s="91">
        <f t="shared" si="0"/>
        <v>73269192.350634813</v>
      </c>
      <c r="H23" s="91">
        <f t="shared" si="1"/>
        <v>102022384.67231686</v>
      </c>
      <c r="I23" s="91">
        <f t="shared" si="2"/>
        <v>1014841961.6373631</v>
      </c>
    </row>
    <row r="24" spans="1:9" x14ac:dyDescent="0.35">
      <c r="A24" s="113">
        <v>19</v>
      </c>
      <c r="B24" s="89">
        <v>-1000000</v>
      </c>
      <c r="C24" s="90">
        <v>8613799.4515487179</v>
      </c>
      <c r="D24" s="90">
        <v>10667598.903097436</v>
      </c>
      <c r="E24" s="90">
        <v>75868997.257743582</v>
      </c>
      <c r="F24" s="2">
        <v>19</v>
      </c>
      <c r="G24" s="91">
        <f t="shared" si="0"/>
        <v>80882991.802183539</v>
      </c>
      <c r="H24" s="91">
        <f t="shared" si="1"/>
        <v>111689983.5754143</v>
      </c>
      <c r="I24" s="91">
        <f t="shared" si="2"/>
        <v>1089710958.8951066</v>
      </c>
    </row>
    <row r="25" spans="1:9" x14ac:dyDescent="0.35">
      <c r="A25" s="113">
        <v>20</v>
      </c>
      <c r="B25" s="89">
        <v>-1000000</v>
      </c>
      <c r="C25" s="90">
        <v>8613799.4515487179</v>
      </c>
      <c r="D25" s="90">
        <v>10667598.903097436</v>
      </c>
      <c r="E25" s="90">
        <v>75868997.257743582</v>
      </c>
      <c r="F25" s="2">
        <v>20</v>
      </c>
      <c r="G25" s="91">
        <f t="shared" si="0"/>
        <v>88496791.253732264</v>
      </c>
      <c r="H25" s="91">
        <f t="shared" si="1"/>
        <v>121357582.47851174</v>
      </c>
      <c r="I25" s="91">
        <f t="shared" si="2"/>
        <v>1164579956.1528502</v>
      </c>
    </row>
  </sheetData>
  <mergeCells count="1">
    <mergeCell ref="F3:I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1E5EC-66B6-4C9E-97EB-5FEEA67CFCBB}">
  <dimension ref="B3:I29"/>
  <sheetViews>
    <sheetView tabSelected="1" topLeftCell="A7" zoomScale="80" zoomScaleNormal="80" workbookViewId="0">
      <selection activeCell="C10" sqref="C10"/>
    </sheetView>
  </sheetViews>
  <sheetFormatPr baseColWidth="10" defaultColWidth="8.81640625" defaultRowHeight="14.5" x14ac:dyDescent="0.35"/>
  <cols>
    <col min="1" max="1" width="8.6328125" customWidth="1"/>
    <col min="2" max="2" width="8.81640625" customWidth="1"/>
    <col min="3" max="3" width="16.81640625" customWidth="1"/>
    <col min="4" max="4" width="20.1796875" bestFit="1" customWidth="1"/>
    <col min="5" max="5" width="15.81640625" bestFit="1" customWidth="1"/>
    <col min="6" max="6" width="17.6328125" bestFit="1" customWidth="1"/>
    <col min="7" max="7" width="20.1796875" bestFit="1" customWidth="1"/>
    <col min="8" max="8" width="19.36328125" bestFit="1" customWidth="1"/>
    <col min="9" max="9" width="17.6328125" bestFit="1" customWidth="1"/>
    <col min="10" max="10" width="15.1796875" bestFit="1" customWidth="1"/>
    <col min="11" max="11" width="17.6328125" bestFit="1" customWidth="1"/>
    <col min="12" max="12" width="12" bestFit="1" customWidth="1"/>
  </cols>
  <sheetData>
    <row r="3" spans="2:9" x14ac:dyDescent="0.35">
      <c r="B3" s="100"/>
      <c r="C3" s="100"/>
      <c r="D3" s="107"/>
      <c r="E3" s="105" t="s">
        <v>91</v>
      </c>
      <c r="F3" s="105"/>
      <c r="G3" s="109"/>
      <c r="H3" s="109" t="s">
        <v>113</v>
      </c>
      <c r="I3" s="110"/>
    </row>
    <row r="4" spans="2:9" x14ac:dyDescent="0.35">
      <c r="B4" s="102" t="s">
        <v>21</v>
      </c>
      <c r="C4" s="103" t="s">
        <v>90</v>
      </c>
      <c r="D4" s="105" t="s">
        <v>67</v>
      </c>
      <c r="E4" s="105" t="s">
        <v>57</v>
      </c>
      <c r="F4" s="105" t="s">
        <v>58</v>
      </c>
      <c r="G4" s="109" t="s">
        <v>67</v>
      </c>
      <c r="H4" s="109" t="s">
        <v>57</v>
      </c>
      <c r="I4" s="109" t="s">
        <v>58</v>
      </c>
    </row>
    <row r="5" spans="2:9" x14ac:dyDescent="0.35">
      <c r="B5" s="104">
        <v>1</v>
      </c>
      <c r="C5" s="101">
        <v>-2066966.64956389</v>
      </c>
      <c r="D5" s="106">
        <v>0</v>
      </c>
      <c r="E5" s="106">
        <v>0</v>
      </c>
      <c r="F5" s="106">
        <v>0</v>
      </c>
      <c r="G5" s="108">
        <f t="shared" ref="G5:G24" si="0">SUM(C5,D5)</f>
        <v>-2066966.64956389</v>
      </c>
      <c r="H5" s="108">
        <f t="shared" ref="H5:H24" si="1">SUM(C5,E5)</f>
        <v>-2066966.64956389</v>
      </c>
      <c r="I5" s="108">
        <f t="shared" ref="I5:I24" si="2">SUM(C5,F5)</f>
        <v>-2066966.64956389</v>
      </c>
    </row>
    <row r="6" spans="2:9" x14ac:dyDescent="0.35">
      <c r="B6" s="104">
        <v>2</v>
      </c>
      <c r="C6" s="101">
        <v>-5749606.7202966698</v>
      </c>
      <c r="D6" s="106">
        <v>0</v>
      </c>
      <c r="E6" s="106">
        <v>0</v>
      </c>
      <c r="F6" s="106">
        <v>0</v>
      </c>
      <c r="G6" s="108">
        <f t="shared" si="0"/>
        <v>-5749606.7202966698</v>
      </c>
      <c r="H6" s="108">
        <f t="shared" si="1"/>
        <v>-5749606.7202966698</v>
      </c>
      <c r="I6" s="108">
        <f t="shared" si="2"/>
        <v>-5749606.7202966698</v>
      </c>
    </row>
    <row r="7" spans="2:9" x14ac:dyDescent="0.35">
      <c r="B7" s="104">
        <v>3</v>
      </c>
      <c r="C7" s="101">
        <v>-5749606.7202966698</v>
      </c>
      <c r="D7" s="106">
        <v>1722759.8903097436</v>
      </c>
      <c r="E7" s="106">
        <v>2133519.7806194872</v>
      </c>
      <c r="F7" s="106">
        <v>15173799.451548718</v>
      </c>
      <c r="G7" s="108">
        <f t="shared" si="0"/>
        <v>-4026846.8299869262</v>
      </c>
      <c r="H7" s="108">
        <f t="shared" si="1"/>
        <v>-3616086.9396771826</v>
      </c>
      <c r="I7" s="108">
        <f t="shared" si="2"/>
        <v>9424192.7312520482</v>
      </c>
    </row>
    <row r="8" spans="2:9" x14ac:dyDescent="0.35">
      <c r="B8" s="104">
        <v>4</v>
      </c>
      <c r="C8" s="101">
        <v>-5849606.7202966698</v>
      </c>
      <c r="D8" s="106">
        <v>3445519.7806194872</v>
      </c>
      <c r="E8" s="106">
        <v>4267039.5612389743</v>
      </c>
      <c r="F8" s="106">
        <v>30347598.903097436</v>
      </c>
      <c r="G8" s="108">
        <f t="shared" si="0"/>
        <v>-2404086.9396771826</v>
      </c>
      <c r="H8" s="108">
        <f t="shared" si="1"/>
        <v>-1582567.1590576954</v>
      </c>
      <c r="I8" s="108">
        <f t="shared" si="2"/>
        <v>24497992.182800766</v>
      </c>
    </row>
    <row r="9" spans="2:9" x14ac:dyDescent="0.35">
      <c r="B9" s="104">
        <v>5</v>
      </c>
      <c r="C9" s="101">
        <v>-5949606.7202966698</v>
      </c>
      <c r="D9" s="106">
        <v>5168279.6709292307</v>
      </c>
      <c r="E9" s="106">
        <v>6400559.3418584615</v>
      </c>
      <c r="F9" s="106">
        <v>45521398.354646154</v>
      </c>
      <c r="G9" s="108">
        <f t="shared" si="0"/>
        <v>-781327.049367439</v>
      </c>
      <c r="H9" s="108">
        <f t="shared" si="1"/>
        <v>450952.62156179175</v>
      </c>
      <c r="I9" s="108">
        <f t="shared" si="2"/>
        <v>39571791.63434948</v>
      </c>
    </row>
    <row r="10" spans="2:9" x14ac:dyDescent="0.35">
      <c r="B10" s="104">
        <v>6</v>
      </c>
      <c r="C10" s="101">
        <v>-6149606.7202966698</v>
      </c>
      <c r="D10" s="106">
        <v>6891039.5612389743</v>
      </c>
      <c r="E10" s="106">
        <v>8534079.1224779487</v>
      </c>
      <c r="F10" s="106">
        <v>60695197.806194872</v>
      </c>
      <c r="G10" s="108">
        <f t="shared" si="0"/>
        <v>741432.84094230458</v>
      </c>
      <c r="H10" s="108">
        <f t="shared" si="1"/>
        <v>2384472.4021812789</v>
      </c>
      <c r="I10" s="108">
        <f t="shared" si="2"/>
        <v>54545591.085898206</v>
      </c>
    </row>
    <row r="11" spans="2:9" x14ac:dyDescent="0.35">
      <c r="B11" s="104">
        <v>7</v>
      </c>
      <c r="C11" s="101">
        <v>-4808999.72</v>
      </c>
      <c r="D11" s="106">
        <v>8613799.4515487179</v>
      </c>
      <c r="E11" s="106">
        <v>10667598.903097436</v>
      </c>
      <c r="F11" s="106">
        <v>75868997.257743597</v>
      </c>
      <c r="G11" s="108">
        <f t="shared" si="0"/>
        <v>3804799.7315487182</v>
      </c>
      <c r="H11" s="108">
        <f t="shared" si="1"/>
        <v>5858599.1830974361</v>
      </c>
      <c r="I11" s="108">
        <f t="shared" si="2"/>
        <v>71059997.537743598</v>
      </c>
    </row>
    <row r="12" spans="2:9" x14ac:dyDescent="0.35">
      <c r="B12" s="104">
        <v>8</v>
      </c>
      <c r="C12" s="101">
        <v>-1000000</v>
      </c>
      <c r="D12" s="106">
        <v>8613799.4515487179</v>
      </c>
      <c r="E12" s="106">
        <v>10667598.903097436</v>
      </c>
      <c r="F12" s="106">
        <v>75868997.257743582</v>
      </c>
      <c r="G12" s="108">
        <f t="shared" si="0"/>
        <v>7613799.4515487179</v>
      </c>
      <c r="H12" s="108">
        <f t="shared" si="1"/>
        <v>9667598.9030974358</v>
      </c>
      <c r="I12" s="108">
        <f t="shared" si="2"/>
        <v>74868997.257743582</v>
      </c>
    </row>
    <row r="13" spans="2:9" x14ac:dyDescent="0.35">
      <c r="B13" s="104">
        <v>9</v>
      </c>
      <c r="C13" s="101">
        <v>-1000000</v>
      </c>
      <c r="D13" s="106">
        <v>8613799.4515487179</v>
      </c>
      <c r="E13" s="106">
        <v>10667598.903097436</v>
      </c>
      <c r="F13" s="106">
        <v>75868997.257743582</v>
      </c>
      <c r="G13" s="108">
        <f t="shared" si="0"/>
        <v>7613799.4515487179</v>
      </c>
      <c r="H13" s="108">
        <f t="shared" si="1"/>
        <v>9667598.9030974358</v>
      </c>
      <c r="I13" s="108">
        <f t="shared" si="2"/>
        <v>74868997.257743582</v>
      </c>
    </row>
    <row r="14" spans="2:9" x14ac:dyDescent="0.35">
      <c r="B14" s="104">
        <v>10</v>
      </c>
      <c r="C14" s="101">
        <v>-1000000</v>
      </c>
      <c r="D14" s="106">
        <v>8613799.4515487179</v>
      </c>
      <c r="E14" s="106">
        <v>10667598.903097436</v>
      </c>
      <c r="F14" s="106">
        <v>75868997.257743582</v>
      </c>
      <c r="G14" s="108">
        <f t="shared" si="0"/>
        <v>7613799.4515487179</v>
      </c>
      <c r="H14" s="108">
        <f t="shared" si="1"/>
        <v>9667598.9030974358</v>
      </c>
      <c r="I14" s="108">
        <f t="shared" si="2"/>
        <v>74868997.257743582</v>
      </c>
    </row>
    <row r="15" spans="2:9" x14ac:dyDescent="0.35">
      <c r="B15" s="104">
        <v>11</v>
      </c>
      <c r="C15" s="101">
        <v>-1000000</v>
      </c>
      <c r="D15" s="106">
        <v>8613799.4515487179</v>
      </c>
      <c r="E15" s="106">
        <v>10667598.903097436</v>
      </c>
      <c r="F15" s="106">
        <v>75868997.257743582</v>
      </c>
      <c r="G15" s="108">
        <f t="shared" si="0"/>
        <v>7613799.4515487179</v>
      </c>
      <c r="H15" s="108">
        <f t="shared" si="1"/>
        <v>9667598.9030974358</v>
      </c>
      <c r="I15" s="108">
        <f t="shared" si="2"/>
        <v>74868997.257743582</v>
      </c>
    </row>
    <row r="16" spans="2:9" x14ac:dyDescent="0.35">
      <c r="B16" s="104">
        <v>12</v>
      </c>
      <c r="C16" s="101">
        <v>-1000000</v>
      </c>
      <c r="D16" s="106">
        <v>8613799.4515487179</v>
      </c>
      <c r="E16" s="106">
        <v>10667598.903097436</v>
      </c>
      <c r="F16" s="106">
        <v>75868997.257743582</v>
      </c>
      <c r="G16" s="108">
        <f t="shared" si="0"/>
        <v>7613799.4515487179</v>
      </c>
      <c r="H16" s="108">
        <f t="shared" si="1"/>
        <v>9667598.9030974358</v>
      </c>
      <c r="I16" s="108">
        <f t="shared" si="2"/>
        <v>74868997.257743582</v>
      </c>
    </row>
    <row r="17" spans="2:9" x14ac:dyDescent="0.35">
      <c r="B17" s="104">
        <v>13</v>
      </c>
      <c r="C17" s="101">
        <v>-1000000</v>
      </c>
      <c r="D17" s="106">
        <v>8613799.4515487179</v>
      </c>
      <c r="E17" s="106">
        <v>10667598.903097436</v>
      </c>
      <c r="F17" s="106">
        <v>75868997.257743582</v>
      </c>
      <c r="G17" s="108">
        <f t="shared" si="0"/>
        <v>7613799.4515487179</v>
      </c>
      <c r="H17" s="108">
        <f t="shared" si="1"/>
        <v>9667598.9030974358</v>
      </c>
      <c r="I17" s="108">
        <f t="shared" si="2"/>
        <v>74868997.257743582</v>
      </c>
    </row>
    <row r="18" spans="2:9" x14ac:dyDescent="0.35">
      <c r="B18" s="104">
        <v>14</v>
      </c>
      <c r="C18" s="101">
        <v>-1000000</v>
      </c>
      <c r="D18" s="106">
        <v>8613799.4515487179</v>
      </c>
      <c r="E18" s="106">
        <v>10667598.903097436</v>
      </c>
      <c r="F18" s="106">
        <v>75868997.257743582</v>
      </c>
      <c r="G18" s="108">
        <f t="shared" si="0"/>
        <v>7613799.4515487179</v>
      </c>
      <c r="H18" s="108">
        <f t="shared" si="1"/>
        <v>9667598.9030974358</v>
      </c>
      <c r="I18" s="108">
        <f t="shared" si="2"/>
        <v>74868997.257743582</v>
      </c>
    </row>
    <row r="19" spans="2:9" x14ac:dyDescent="0.35">
      <c r="B19" s="104">
        <v>15</v>
      </c>
      <c r="C19" s="101">
        <v>-1000000</v>
      </c>
      <c r="D19" s="106">
        <v>8613799.4515487179</v>
      </c>
      <c r="E19" s="106">
        <v>10667598.903097436</v>
      </c>
      <c r="F19" s="106">
        <v>75868997.257743582</v>
      </c>
      <c r="G19" s="108">
        <f t="shared" si="0"/>
        <v>7613799.4515487179</v>
      </c>
      <c r="H19" s="108">
        <f t="shared" si="1"/>
        <v>9667598.9030974358</v>
      </c>
      <c r="I19" s="108">
        <f t="shared" si="2"/>
        <v>74868997.257743582</v>
      </c>
    </row>
    <row r="20" spans="2:9" x14ac:dyDescent="0.35">
      <c r="B20" s="104">
        <v>16</v>
      </c>
      <c r="C20" s="101">
        <v>-1000000</v>
      </c>
      <c r="D20" s="106">
        <v>8613799.4515487179</v>
      </c>
      <c r="E20" s="106">
        <v>10667598.903097436</v>
      </c>
      <c r="F20" s="106">
        <v>75868997.257743582</v>
      </c>
      <c r="G20" s="108">
        <f t="shared" si="0"/>
        <v>7613799.4515487179</v>
      </c>
      <c r="H20" s="108">
        <f t="shared" si="1"/>
        <v>9667598.9030974358</v>
      </c>
      <c r="I20" s="108">
        <f t="shared" si="2"/>
        <v>74868997.257743582</v>
      </c>
    </row>
    <row r="21" spans="2:9" x14ac:dyDescent="0.35">
      <c r="B21" s="104">
        <v>17</v>
      </c>
      <c r="C21" s="101">
        <v>-1000000</v>
      </c>
      <c r="D21" s="106">
        <v>8613799.4515487179</v>
      </c>
      <c r="E21" s="106">
        <v>10667598.903097436</v>
      </c>
      <c r="F21" s="106">
        <v>75868997.257743582</v>
      </c>
      <c r="G21" s="108">
        <f t="shared" si="0"/>
        <v>7613799.4515487179</v>
      </c>
      <c r="H21" s="108">
        <f t="shared" si="1"/>
        <v>9667598.9030974358</v>
      </c>
      <c r="I21" s="108">
        <f t="shared" si="2"/>
        <v>74868997.257743582</v>
      </c>
    </row>
    <row r="22" spans="2:9" x14ac:dyDescent="0.35">
      <c r="B22" s="104">
        <v>18</v>
      </c>
      <c r="C22" s="101">
        <v>-1000000</v>
      </c>
      <c r="D22" s="106">
        <v>8613799.4515487179</v>
      </c>
      <c r="E22" s="106">
        <v>10667598.903097436</v>
      </c>
      <c r="F22" s="106">
        <v>75868997.257743582</v>
      </c>
      <c r="G22" s="108">
        <f t="shared" si="0"/>
        <v>7613799.4515487179</v>
      </c>
      <c r="H22" s="108">
        <f t="shared" si="1"/>
        <v>9667598.9030974358</v>
      </c>
      <c r="I22" s="108">
        <f t="shared" si="2"/>
        <v>74868997.257743582</v>
      </c>
    </row>
    <row r="23" spans="2:9" x14ac:dyDescent="0.35">
      <c r="B23" s="104">
        <v>19</v>
      </c>
      <c r="C23" s="101">
        <v>-1000000</v>
      </c>
      <c r="D23" s="106">
        <v>8613799.4515487179</v>
      </c>
      <c r="E23" s="106">
        <v>10667598.903097436</v>
      </c>
      <c r="F23" s="106">
        <v>75868997.257743582</v>
      </c>
      <c r="G23" s="108">
        <f t="shared" si="0"/>
        <v>7613799.4515487179</v>
      </c>
      <c r="H23" s="108">
        <f t="shared" si="1"/>
        <v>9667598.9030974358</v>
      </c>
      <c r="I23" s="108">
        <f t="shared" si="2"/>
        <v>74868997.257743582</v>
      </c>
    </row>
    <row r="24" spans="2:9" x14ac:dyDescent="0.35">
      <c r="B24" s="104">
        <v>20</v>
      </c>
      <c r="C24" s="101">
        <v>-1000000</v>
      </c>
      <c r="D24" s="106">
        <v>8613799.4515487179</v>
      </c>
      <c r="E24" s="106">
        <v>10667598.903097436</v>
      </c>
      <c r="F24" s="106">
        <v>75868997.257743582</v>
      </c>
      <c r="G24" s="108">
        <f t="shared" si="0"/>
        <v>7613799.4515487179</v>
      </c>
      <c r="H24" s="108">
        <f t="shared" si="1"/>
        <v>9667598.9030974358</v>
      </c>
      <c r="I24" s="108">
        <f t="shared" si="2"/>
        <v>74868997.257743582</v>
      </c>
    </row>
    <row r="27" spans="2:9" ht="21" x14ac:dyDescent="0.5">
      <c r="G27" s="116"/>
      <c r="H27" s="116" t="s">
        <v>92</v>
      </c>
      <c r="I27" s="116"/>
    </row>
    <row r="28" spans="2:9" ht="21" x14ac:dyDescent="0.5">
      <c r="G28" s="116" t="s">
        <v>55</v>
      </c>
      <c r="H28" s="116" t="s">
        <v>56</v>
      </c>
      <c r="I28" s="116" t="s">
        <v>16</v>
      </c>
    </row>
    <row r="29" spans="2:9" ht="21" x14ac:dyDescent="0.5">
      <c r="G29" s="117">
        <f>IRR(G5:G24)</f>
        <v>0.2196260351911139</v>
      </c>
      <c r="H29" s="117">
        <f>IRR(H5:H24)</f>
        <v>0.28352339994650055</v>
      </c>
      <c r="I29" s="117">
        <f>IRR(I5:I24)</f>
        <v>1.6451156452356495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79770-51D6-4F2E-9C76-B4CC1F1B6885}">
  <dimension ref="B3:J35"/>
  <sheetViews>
    <sheetView workbookViewId="0">
      <selection activeCell="H20" sqref="H20"/>
    </sheetView>
  </sheetViews>
  <sheetFormatPr baseColWidth="10" defaultColWidth="8.6328125" defaultRowHeight="14.5" x14ac:dyDescent="0.35"/>
  <cols>
    <col min="5" max="5" width="15.453125" customWidth="1"/>
    <col min="6" max="6" width="22.36328125" customWidth="1"/>
    <col min="7" max="7" width="15.36328125" bestFit="1" customWidth="1"/>
    <col min="8" max="8" width="17.1796875" bestFit="1" customWidth="1"/>
  </cols>
  <sheetData>
    <row r="3" spans="2:9" x14ac:dyDescent="0.35">
      <c r="B3" s="53" t="s">
        <v>26</v>
      </c>
      <c r="C3" s="53" t="s">
        <v>27</v>
      </c>
      <c r="D3" s="53" t="s">
        <v>28</v>
      </c>
      <c r="E3" s="53" t="s">
        <v>29</v>
      </c>
      <c r="F3" s="53" t="s">
        <v>30</v>
      </c>
      <c r="G3" s="53" t="s">
        <v>31</v>
      </c>
      <c r="H3" s="53" t="s">
        <v>32</v>
      </c>
      <c r="I3" s="53" t="s">
        <v>33</v>
      </c>
    </row>
    <row r="4" spans="2:9" x14ac:dyDescent="0.35">
      <c r="B4" t="s">
        <v>34</v>
      </c>
      <c r="C4">
        <v>452</v>
      </c>
      <c r="D4">
        <v>4037</v>
      </c>
      <c r="E4">
        <v>16973</v>
      </c>
      <c r="F4">
        <v>1067</v>
      </c>
      <c r="G4">
        <v>576</v>
      </c>
      <c r="H4">
        <v>409</v>
      </c>
      <c r="I4">
        <v>22</v>
      </c>
    </row>
    <row r="5" spans="2:9" x14ac:dyDescent="0.35">
      <c r="B5" t="s">
        <v>35</v>
      </c>
      <c r="C5">
        <v>114</v>
      </c>
      <c r="D5">
        <v>502</v>
      </c>
      <c r="E5">
        <v>2267</v>
      </c>
      <c r="F5">
        <v>10784</v>
      </c>
      <c r="G5">
        <v>329</v>
      </c>
      <c r="H5">
        <v>91</v>
      </c>
      <c r="I5">
        <v>6</v>
      </c>
    </row>
    <row r="6" spans="2:9" x14ac:dyDescent="0.35">
      <c r="B6" t="s">
        <v>36</v>
      </c>
      <c r="C6">
        <v>73</v>
      </c>
      <c r="D6">
        <v>2741</v>
      </c>
      <c r="E6">
        <v>129</v>
      </c>
      <c r="F6">
        <v>1640</v>
      </c>
      <c r="G6">
        <v>3308</v>
      </c>
      <c r="H6">
        <v>3</v>
      </c>
      <c r="I6">
        <v>14</v>
      </c>
    </row>
    <row r="7" spans="2:9" x14ac:dyDescent="0.35">
      <c r="B7" t="s">
        <v>37</v>
      </c>
      <c r="C7">
        <v>76</v>
      </c>
      <c r="D7">
        <v>6483</v>
      </c>
      <c r="E7">
        <v>593</v>
      </c>
      <c r="F7">
        <v>3362</v>
      </c>
      <c r="G7">
        <v>531</v>
      </c>
      <c r="H7">
        <v>10</v>
      </c>
      <c r="I7">
        <v>5</v>
      </c>
    </row>
    <row r="8" spans="2:9" x14ac:dyDescent="0.35">
      <c r="B8" t="s">
        <v>38</v>
      </c>
      <c r="C8">
        <v>54</v>
      </c>
      <c r="D8">
        <v>4594</v>
      </c>
      <c r="E8">
        <v>2213</v>
      </c>
      <c r="F8">
        <v>27137</v>
      </c>
      <c r="G8">
        <v>337</v>
      </c>
      <c r="H8">
        <v>409</v>
      </c>
      <c r="I8">
        <v>23</v>
      </c>
    </row>
    <row r="9" spans="2:9" x14ac:dyDescent="0.35">
      <c r="B9" t="s">
        <v>39</v>
      </c>
      <c r="C9">
        <v>90</v>
      </c>
      <c r="D9">
        <v>2527</v>
      </c>
      <c r="E9">
        <v>291</v>
      </c>
      <c r="F9">
        <v>2793</v>
      </c>
      <c r="G9">
        <v>260</v>
      </c>
      <c r="H9">
        <v>3</v>
      </c>
      <c r="I9">
        <v>16</v>
      </c>
    </row>
    <row r="10" spans="2:9" x14ac:dyDescent="0.35">
      <c r="B10" t="s">
        <v>40</v>
      </c>
      <c r="C10">
        <v>64</v>
      </c>
      <c r="D10">
        <v>2059</v>
      </c>
      <c r="E10">
        <v>589</v>
      </c>
      <c r="F10">
        <v>3084</v>
      </c>
      <c r="G10">
        <v>57</v>
      </c>
      <c r="H10">
        <v>9</v>
      </c>
      <c r="I10">
        <v>3</v>
      </c>
    </row>
    <row r="11" spans="2:9" x14ac:dyDescent="0.35">
      <c r="B11" s="54" t="s">
        <v>41</v>
      </c>
      <c r="C11">
        <v>86</v>
      </c>
      <c r="D11">
        <v>1217</v>
      </c>
      <c r="E11">
        <v>325</v>
      </c>
      <c r="F11">
        <v>852</v>
      </c>
      <c r="G11">
        <v>304</v>
      </c>
      <c r="H11" s="59">
        <v>29</v>
      </c>
      <c r="I11" s="59" t="s">
        <v>51</v>
      </c>
    </row>
    <row r="12" spans="2:9" x14ac:dyDescent="0.35">
      <c r="B12" s="54" t="s">
        <v>42</v>
      </c>
      <c r="C12">
        <v>24</v>
      </c>
      <c r="D12">
        <v>1706</v>
      </c>
      <c r="E12">
        <v>239</v>
      </c>
      <c r="F12">
        <v>10174</v>
      </c>
      <c r="G12">
        <v>8421</v>
      </c>
      <c r="H12" s="59">
        <v>24</v>
      </c>
      <c r="I12" s="59" t="s">
        <v>51</v>
      </c>
    </row>
    <row r="13" spans="2:9" x14ac:dyDescent="0.35">
      <c r="B13" s="54" t="s">
        <v>43</v>
      </c>
      <c r="C13">
        <v>347</v>
      </c>
      <c r="D13">
        <v>2881</v>
      </c>
      <c r="E13">
        <v>2204</v>
      </c>
      <c r="F13">
        <v>28529</v>
      </c>
      <c r="G13">
        <v>29686</v>
      </c>
      <c r="H13" s="59">
        <v>63</v>
      </c>
      <c r="I13" s="59">
        <v>3</v>
      </c>
    </row>
    <row r="14" spans="2:9" x14ac:dyDescent="0.35">
      <c r="B14" s="54" t="s">
        <v>44</v>
      </c>
      <c r="C14">
        <v>120</v>
      </c>
      <c r="D14">
        <v>9564</v>
      </c>
      <c r="E14">
        <v>343</v>
      </c>
      <c r="F14">
        <v>1853</v>
      </c>
      <c r="G14">
        <v>686</v>
      </c>
      <c r="H14" s="59" t="s">
        <v>51</v>
      </c>
      <c r="I14" s="59" t="s">
        <v>51</v>
      </c>
    </row>
    <row r="15" spans="2:9" x14ac:dyDescent="0.35">
      <c r="B15" s="54" t="s">
        <v>45</v>
      </c>
      <c r="C15">
        <v>319</v>
      </c>
      <c r="D15">
        <v>297</v>
      </c>
      <c r="E15">
        <v>749</v>
      </c>
      <c r="F15">
        <v>3850</v>
      </c>
      <c r="G15">
        <v>759</v>
      </c>
      <c r="H15" s="59">
        <v>3</v>
      </c>
      <c r="I15" s="59">
        <v>2</v>
      </c>
    </row>
    <row r="16" spans="2:9" x14ac:dyDescent="0.35">
      <c r="B16" s="54"/>
      <c r="D16" s="55"/>
      <c r="E16" s="55"/>
      <c r="F16" s="55"/>
      <c r="G16" s="55"/>
      <c r="H16" s="55"/>
      <c r="I16" s="55"/>
    </row>
    <row r="20" spans="2:9" ht="65.5" x14ac:dyDescent="0.35">
      <c r="B20" s="53" t="s">
        <v>26</v>
      </c>
      <c r="C20" s="56" t="s">
        <v>46</v>
      </c>
      <c r="D20" s="57"/>
      <c r="E20" s="53" t="s">
        <v>26</v>
      </c>
      <c r="F20" s="53" t="s">
        <v>52</v>
      </c>
      <c r="G20" s="57" t="s">
        <v>47</v>
      </c>
      <c r="I20" s="57" t="s">
        <v>54</v>
      </c>
    </row>
    <row r="21" spans="2:9" x14ac:dyDescent="0.35">
      <c r="B21" t="s">
        <v>34</v>
      </c>
      <c r="C21">
        <v>14749.975000000006</v>
      </c>
      <c r="E21" t="s">
        <v>34</v>
      </c>
      <c r="F21">
        <v>424472214.99000001</v>
      </c>
      <c r="G21">
        <f>F21/10000</f>
        <v>42447.221498999999</v>
      </c>
      <c r="I21" s="54" t="s">
        <v>48</v>
      </c>
    </row>
    <row r="22" spans="2:9" x14ac:dyDescent="0.35">
      <c r="B22" t="s">
        <v>35</v>
      </c>
      <c r="C22">
        <v>6601.6700000000019</v>
      </c>
      <c r="E22" t="s">
        <v>35</v>
      </c>
      <c r="F22">
        <v>581329896.99000001</v>
      </c>
      <c r="G22">
        <f t="shared" ref="G22:G32" si="0">F22/10000</f>
        <v>58132.989698999998</v>
      </c>
    </row>
    <row r="23" spans="2:9" x14ac:dyDescent="0.35">
      <c r="B23" t="s">
        <v>36</v>
      </c>
      <c r="C23">
        <v>74429.455000000002</v>
      </c>
      <c r="E23" t="s">
        <v>36</v>
      </c>
      <c r="F23">
        <v>573470581.99000001</v>
      </c>
      <c r="G23">
        <f t="shared" si="0"/>
        <v>57347.058198999999</v>
      </c>
    </row>
    <row r="24" spans="2:9" x14ac:dyDescent="0.35">
      <c r="B24" t="s">
        <v>37</v>
      </c>
      <c r="C24">
        <v>17588.440000000002</v>
      </c>
      <c r="E24" t="s">
        <v>37</v>
      </c>
      <c r="F24">
        <v>3283067508</v>
      </c>
      <c r="G24">
        <f t="shared" si="0"/>
        <v>328306.75079999998</v>
      </c>
    </row>
    <row r="25" spans="2:9" x14ac:dyDescent="0.35">
      <c r="B25" t="s">
        <v>38</v>
      </c>
      <c r="C25">
        <v>105322.49499999998</v>
      </c>
      <c r="E25" t="s">
        <v>38</v>
      </c>
      <c r="F25">
        <v>585647085</v>
      </c>
      <c r="G25">
        <f t="shared" si="0"/>
        <v>58564.708500000001</v>
      </c>
    </row>
    <row r="26" spans="2:9" x14ac:dyDescent="0.35">
      <c r="B26" t="s">
        <v>39</v>
      </c>
      <c r="C26">
        <v>11878.561000000005</v>
      </c>
      <c r="E26" t="s">
        <v>39</v>
      </c>
      <c r="F26">
        <v>541345080.99000001</v>
      </c>
      <c r="G26">
        <f t="shared" si="0"/>
        <v>54134.508098999999</v>
      </c>
    </row>
    <row r="27" spans="2:9" x14ac:dyDescent="0.35">
      <c r="B27" t="s">
        <v>40</v>
      </c>
      <c r="C27">
        <v>28455.60999999999</v>
      </c>
      <c r="E27" t="s">
        <v>40</v>
      </c>
      <c r="F27">
        <v>375206935</v>
      </c>
      <c r="G27">
        <f t="shared" si="0"/>
        <v>37520.693500000001</v>
      </c>
    </row>
    <row r="28" spans="2:9" x14ac:dyDescent="0.35">
      <c r="B28" t="s">
        <v>41</v>
      </c>
      <c r="C28">
        <v>11983.887000000001</v>
      </c>
      <c r="E28" t="s">
        <v>41</v>
      </c>
      <c r="F28">
        <v>495418561.99000001</v>
      </c>
      <c r="G28">
        <f t="shared" si="0"/>
        <v>49541.856199000002</v>
      </c>
    </row>
    <row r="29" spans="2:9" x14ac:dyDescent="0.35">
      <c r="B29" t="s">
        <v>42</v>
      </c>
      <c r="C29">
        <v>106458.03599999999</v>
      </c>
      <c r="E29" t="s">
        <v>42</v>
      </c>
      <c r="F29">
        <v>656935141</v>
      </c>
      <c r="G29">
        <f t="shared" si="0"/>
        <v>65693.5141</v>
      </c>
    </row>
    <row r="30" spans="2:9" x14ac:dyDescent="0.35">
      <c r="B30" t="s">
        <v>43</v>
      </c>
      <c r="C30">
        <v>106960.37000000005</v>
      </c>
      <c r="E30" t="s">
        <v>43</v>
      </c>
      <c r="F30">
        <v>4467778843.9899998</v>
      </c>
      <c r="G30">
        <f t="shared" si="0"/>
        <v>446777.88439899997</v>
      </c>
    </row>
    <row r="31" spans="2:9" x14ac:dyDescent="0.35">
      <c r="B31" t="s">
        <v>44</v>
      </c>
      <c r="C31">
        <v>32864.420000000006</v>
      </c>
      <c r="E31" t="s">
        <v>44</v>
      </c>
      <c r="F31">
        <v>714400528.99000001</v>
      </c>
      <c r="G31">
        <f t="shared" si="0"/>
        <v>71440.052899000002</v>
      </c>
    </row>
    <row r="32" spans="2:9" x14ac:dyDescent="0.35">
      <c r="B32" t="s">
        <v>45</v>
      </c>
      <c r="C32">
        <v>34215.623999999996</v>
      </c>
      <c r="E32" t="s">
        <v>45</v>
      </c>
      <c r="F32">
        <v>330410730.99000001</v>
      </c>
      <c r="G32">
        <f t="shared" si="0"/>
        <v>33041.073099000001</v>
      </c>
    </row>
    <row r="33" spans="2:10" x14ac:dyDescent="0.35">
      <c r="B33" s="54"/>
      <c r="C33" s="55"/>
      <c r="E33" t="s">
        <v>49</v>
      </c>
      <c r="F33" s="58">
        <f>SUM(F21:F32)</f>
        <v>13029483109.919998</v>
      </c>
    </row>
    <row r="34" spans="2:10" x14ac:dyDescent="0.35">
      <c r="E34" t="s">
        <v>53</v>
      </c>
      <c r="F34" s="60">
        <f>F33/J35</f>
        <v>123152014.27145556</v>
      </c>
    </row>
    <row r="35" spans="2:10" x14ac:dyDescent="0.35">
      <c r="I35" t="s">
        <v>50</v>
      </c>
      <c r="J35">
        <v>105.8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EE1C83B4-C7C4-4A6D-A2D2-8469A6B78436}"/>
</file>

<file path=customXml/itemProps2.xml><?xml version="1.0" encoding="utf-8"?>
<ds:datastoreItem xmlns:ds="http://schemas.openxmlformats.org/officeDocument/2006/customXml" ds:itemID="{DC8245F1-0C1F-4F54-A133-A2528A614A63}"/>
</file>

<file path=customXml/itemProps3.xml><?xml version="1.0" encoding="utf-8"?>
<ds:datastoreItem xmlns:ds="http://schemas.openxmlformats.org/officeDocument/2006/customXml" ds:itemID="{9EB974EA-EEA3-4825-A7DA-8DA1CCF2E58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Constants, ENPV and BCR</vt:lpstr>
      <vt:lpstr>Break Even Period</vt:lpstr>
      <vt:lpstr>EIRR</vt:lpstr>
      <vt:lpstr>Impact Data DesInventar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2024-06-19T11:48:50Z</dcterms:created>
  <dcterms:modified xsi:type="dcterms:W3CDTF">2024-06-19T11:48:53Z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