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07"/>
  <workbookPr defaultThemeVersion="166925"/>
  <mc:AlternateContent xmlns:mc="http://schemas.openxmlformats.org/markup-compatibility/2006">
    <mc:Choice Requires="x15">
      <x15ac:absPath xmlns:x15ac="http://schemas.microsoft.com/office/spreadsheetml/2010/11/ac" url="C:\Users\e.doro\Desktop\Madagascar DEFIS+ November 2023\"/>
    </mc:Choice>
  </mc:AlternateContent>
  <xr:revisionPtr revIDLastSave="0" documentId="8_{28D3B574-E26F-4CE8-8421-0AD65BDC45F4}" xr6:coauthVersionLast="47" xr6:coauthVersionMax="47" xr10:uidLastSave="{00000000-0000-0000-0000-000000000000}"/>
  <bookViews>
    <workbookView xWindow="-110" yWindow="-110" windowWidth="19420" windowHeight="11500" xr2:uid="{00000000-000D-0000-FFFF-FFFF00000000}"/>
  </bookViews>
  <sheets>
    <sheet name="Est. Bénéficiaires DEFIS+" sheetId="2" r:id="rId1"/>
    <sheet name="Definitions" sheetId="3" r:id="rId2"/>
  </sheets>
  <definedNames>
    <definedName name="_Toc50934337" localSheetId="0">'Est. Bénéficiaires DEFIS+'!$A$2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24" i="2" l="1"/>
  <c r="AD24" i="2"/>
  <c r="Y24" i="2"/>
  <c r="U24" i="2"/>
  <c r="P24" i="2"/>
  <c r="L24" i="2"/>
  <c r="AJ24" i="2"/>
  <c r="AI24" i="2"/>
  <c r="AK24" i="2" s="1"/>
  <c r="V24" i="2"/>
  <c r="AD10" i="2"/>
  <c r="AD22" i="2" s="1"/>
  <c r="AD21" i="2"/>
  <c r="AD20" i="2"/>
  <c r="AG10" i="2"/>
  <c r="W24" i="2" l="1"/>
  <c r="X24" i="2" s="1"/>
  <c r="M24" i="2"/>
  <c r="N24" i="2" s="1"/>
  <c r="Z24" i="2"/>
  <c r="AA24" i="2" s="1"/>
  <c r="Q24" i="2"/>
  <c r="R24" i="2" s="1"/>
  <c r="AE24" i="2"/>
  <c r="AF24" i="2" s="1"/>
  <c r="AE22" i="2"/>
  <c r="AF22" i="2" s="1"/>
  <c r="AE20" i="2"/>
  <c r="AF20" i="2" s="1"/>
  <c r="AE21" i="2"/>
  <c r="AF21" i="2" s="1"/>
  <c r="AG21" i="2"/>
  <c r="AD17" i="2"/>
  <c r="AD23" i="2"/>
  <c r="AD25" i="2"/>
  <c r="AH10" i="2"/>
  <c r="AD26" i="2"/>
  <c r="AD18" i="2"/>
  <c r="AD19" i="2"/>
  <c r="AE10" i="2"/>
  <c r="AF10" i="2" s="1"/>
  <c r="AG24" i="2" l="1"/>
  <c r="AB24" i="2"/>
  <c r="S24" i="2"/>
  <c r="O24" i="2"/>
  <c r="AE26" i="2"/>
  <c r="AF26" i="2" s="1"/>
  <c r="AE25" i="2"/>
  <c r="AF25" i="2" s="1"/>
  <c r="AE17" i="2"/>
  <c r="AF17" i="2" s="1"/>
  <c r="AG20" i="2"/>
  <c r="AH23" i="2"/>
  <c r="AH22" i="2"/>
  <c r="AH18" i="2"/>
  <c r="AH21" i="2"/>
  <c r="AH20" i="2"/>
  <c r="AH19" i="2"/>
  <c r="AH17" i="2"/>
  <c r="AK10" i="2"/>
  <c r="AH26" i="2"/>
  <c r="AH25" i="2"/>
  <c r="AE23" i="2"/>
  <c r="AF23" i="2" s="1"/>
  <c r="AE19" i="2"/>
  <c r="AF19" i="2" s="1"/>
  <c r="AE18" i="2"/>
  <c r="AF18" i="2" s="1"/>
  <c r="AG18" i="2"/>
  <c r="AG22" i="2"/>
  <c r="AG19" i="2" l="1"/>
  <c r="AI18" i="2"/>
  <c r="AJ18" i="2"/>
  <c r="AI22" i="2"/>
  <c r="AK22" i="2" s="1"/>
  <c r="AJ22" i="2"/>
  <c r="AI23" i="2"/>
  <c r="AJ23" i="2"/>
  <c r="AK23" i="2"/>
  <c r="AJ25" i="2"/>
  <c r="AI25" i="2"/>
  <c r="AK25" i="2"/>
  <c r="AI26" i="2"/>
  <c r="AK26" i="2" s="1"/>
  <c r="AJ26" i="2"/>
  <c r="AG25" i="2"/>
  <c r="AI20" i="2"/>
  <c r="AJ20" i="2"/>
  <c r="AI21" i="2"/>
  <c r="AJ21" i="2"/>
  <c r="AK21" i="2"/>
  <c r="AG23" i="2"/>
  <c r="AG17" i="2"/>
  <c r="AJ17" i="2"/>
  <c r="AI17" i="2"/>
  <c r="AI19" i="2"/>
  <c r="AJ19" i="2"/>
  <c r="AG26" i="2"/>
  <c r="AI10" i="2"/>
  <c r="AJ10" i="2" s="1"/>
  <c r="H9" i="2"/>
  <c r="J9" i="2" s="1"/>
  <c r="F9" i="2"/>
  <c r="H8" i="2"/>
  <c r="J8" i="2" s="1"/>
  <c r="F8" i="2"/>
  <c r="H7" i="2"/>
  <c r="J7" i="2" s="1"/>
  <c r="F7" i="2"/>
  <c r="H6" i="2"/>
  <c r="F6" i="2"/>
  <c r="H5" i="2"/>
  <c r="J5" i="2" s="1"/>
  <c r="F5" i="2"/>
  <c r="AK19" i="2" l="1"/>
  <c r="AK17" i="2"/>
  <c r="AK18" i="2"/>
  <c r="AK20" i="2"/>
  <c r="J6" i="2"/>
  <c r="P10" i="2" s="1"/>
  <c r="P21" i="2" l="1"/>
  <c r="P20" i="2"/>
  <c r="S10" i="2"/>
  <c r="P19" i="2"/>
  <c r="Q10" i="2"/>
  <c r="R10" i="2" s="1"/>
  <c r="P26" i="2"/>
  <c r="P18" i="2"/>
  <c r="P17" i="2"/>
  <c r="P22" i="2"/>
  <c r="P25" i="2"/>
  <c r="P23" i="2"/>
  <c r="Y10" i="2"/>
  <c r="L10" i="2"/>
  <c r="L18" i="2" s="1"/>
  <c r="L25" i="2"/>
  <c r="L19" i="2"/>
  <c r="L20" i="2"/>
  <c r="F10" i="2"/>
  <c r="C10" i="2"/>
  <c r="D10" i="2"/>
  <c r="B10" i="2"/>
  <c r="L21" i="2" l="1"/>
  <c r="M21" i="2" s="1"/>
  <c r="N21" i="2" s="1"/>
  <c r="L23" i="2"/>
  <c r="L17" i="2"/>
  <c r="Q25" i="2"/>
  <c r="R25" i="2" s="1"/>
  <c r="Q22" i="2"/>
  <c r="R22" i="2" s="1"/>
  <c r="S22" i="2"/>
  <c r="Q17" i="2"/>
  <c r="R17" i="2" s="1"/>
  <c r="M17" i="2"/>
  <c r="N17" i="2" s="1"/>
  <c r="O17" i="2"/>
  <c r="Q18" i="2"/>
  <c r="R18" i="2" s="1"/>
  <c r="S18" i="2"/>
  <c r="M18" i="2"/>
  <c r="N18" i="2" s="1"/>
  <c r="Q26" i="2"/>
  <c r="R26" i="2" s="1"/>
  <c r="M20" i="2"/>
  <c r="N20" i="2" s="1"/>
  <c r="M19" i="2"/>
  <c r="N19" i="2" s="1"/>
  <c r="Q19" i="2"/>
  <c r="R19" i="2" s="1"/>
  <c r="S19" i="2"/>
  <c r="M25" i="2"/>
  <c r="N25" i="2" s="1"/>
  <c r="L22" i="2"/>
  <c r="O10" i="2"/>
  <c r="U10" i="2"/>
  <c r="V10" i="2" s="1"/>
  <c r="W10" i="2" s="1"/>
  <c r="M10" i="2"/>
  <c r="N10" i="2" s="1"/>
  <c r="Q20" i="2"/>
  <c r="R20" i="2" s="1"/>
  <c r="Q23" i="2"/>
  <c r="R23" i="2" s="1"/>
  <c r="S23" i="2"/>
  <c r="Y17" i="2"/>
  <c r="Y20" i="2"/>
  <c r="Y22" i="2"/>
  <c r="Y26" i="2"/>
  <c r="Y25" i="2"/>
  <c r="Y23" i="2"/>
  <c r="Y21" i="2"/>
  <c r="Y19" i="2"/>
  <c r="Y18" i="2"/>
  <c r="AB10" i="2"/>
  <c r="Q21" i="2"/>
  <c r="R21" i="2" s="1"/>
  <c r="S21" i="2"/>
  <c r="H10" i="2"/>
  <c r="J10" i="2"/>
  <c r="O23" i="2" l="1"/>
  <c r="M23" i="2"/>
  <c r="N23" i="2" s="1"/>
  <c r="Z17" i="2"/>
  <c r="AA17" i="2" s="1"/>
  <c r="O20" i="2"/>
  <c r="U23" i="2"/>
  <c r="U26" i="2"/>
  <c r="U19" i="2"/>
  <c r="U17" i="2"/>
  <c r="U22" i="2"/>
  <c r="U25" i="2"/>
  <c r="U21" i="2"/>
  <c r="U20" i="2"/>
  <c r="U18" i="2"/>
  <c r="X10" i="2"/>
  <c r="Z26" i="2"/>
  <c r="AA26" i="2" s="1"/>
  <c r="M22" i="2"/>
  <c r="N22" i="2" s="1"/>
  <c r="O18" i="2"/>
  <c r="Z22" i="2"/>
  <c r="AA22" i="2" s="1"/>
  <c r="O19" i="2"/>
  <c r="S17" i="2"/>
  <c r="Z18" i="2"/>
  <c r="AA18" i="2" s="1"/>
  <c r="S20" i="2"/>
  <c r="Z19" i="2"/>
  <c r="AA19" i="2" s="1"/>
  <c r="AB19" i="2"/>
  <c r="Z21" i="2"/>
  <c r="AA21" i="2" s="1"/>
  <c r="Z23" i="2"/>
  <c r="AA23" i="2" s="1"/>
  <c r="S26" i="2"/>
  <c r="O21" i="2"/>
  <c r="Z25" i="2"/>
  <c r="AA25" i="2" s="1"/>
  <c r="AB25" i="2"/>
  <c r="Z20" i="2"/>
  <c r="AA20" i="2" s="1"/>
  <c r="O25" i="2"/>
  <c r="S25" i="2"/>
  <c r="L26" i="2"/>
  <c r="AB20" i="2" l="1"/>
  <c r="AB17" i="2"/>
  <c r="AB18" i="2"/>
  <c r="V20" i="2"/>
  <c r="W20" i="2" s="1"/>
  <c r="V25" i="2"/>
  <c r="W25" i="2" s="1"/>
  <c r="V22" i="2"/>
  <c r="W22" i="2" s="1"/>
  <c r="M26" i="2"/>
  <c r="N26" i="2" s="1"/>
  <c r="O26" i="2"/>
  <c r="AB21" i="2"/>
  <c r="O22" i="2"/>
  <c r="V23" i="2"/>
  <c r="W23" i="2" s="1"/>
  <c r="AB26" i="2"/>
  <c r="V18" i="2"/>
  <c r="W18" i="2" s="1"/>
  <c r="V21" i="2"/>
  <c r="W21" i="2" s="1"/>
  <c r="AB22" i="2"/>
  <c r="V17" i="2"/>
  <c r="W17" i="2" s="1"/>
  <c r="X17" i="2"/>
  <c r="AB23" i="2"/>
  <c r="V19" i="2"/>
  <c r="W19" i="2" s="1"/>
  <c r="V26" i="2"/>
  <c r="W26" i="2" s="1"/>
  <c r="Z10" i="2"/>
  <c r="AA10" i="2" s="1"/>
  <c r="X22" i="2" l="1"/>
  <c r="X18" i="2"/>
  <c r="X26" i="2"/>
  <c r="X20" i="2"/>
  <c r="X19" i="2"/>
  <c r="X21" i="2"/>
  <c r="X25" i="2"/>
  <c r="X23" i="2"/>
</calcChain>
</file>

<file path=xl/sharedStrings.xml><?xml version="1.0" encoding="utf-8"?>
<sst xmlns="http://schemas.openxmlformats.org/spreadsheetml/2006/main" count="99" uniqueCount="57">
  <si>
    <t>Estimate of the number of rural households benefiting from DEFIS+ GCF according to the regions of intervention</t>
  </si>
  <si>
    <t>Region</t>
  </si>
  <si>
    <r>
      <t xml:space="preserve">Number of rural households and gender of the head of household </t>
    </r>
    <r>
      <rPr>
        <b/>
        <sz val="8"/>
        <color rgb="FFC00000"/>
        <rFont val="Calibri"/>
        <family val="2"/>
      </rPr>
      <t>(1)</t>
    </r>
  </si>
  <si>
    <r>
      <t xml:space="preserve">% poverty
[ind. SDG 0121] </t>
    </r>
    <r>
      <rPr>
        <b/>
        <sz val="8"/>
        <color rgb="FFC00000"/>
        <rFont val="Calibri"/>
        <family val="2"/>
      </rPr>
      <t>(2)</t>
    </r>
  </si>
  <si>
    <t>Estimated poor rural households</t>
  </si>
  <si>
    <r>
      <t>% food insecurity [severe and moderate</t>
    </r>
    <r>
      <rPr>
        <b/>
        <sz val="8"/>
        <color rgb="FF000000"/>
        <rFont val="Calibri"/>
        <family val="2"/>
      </rPr>
      <t>]</t>
    </r>
    <r>
      <rPr>
        <b/>
        <sz val="8"/>
        <color rgb="FFC00000"/>
        <rFont val="Calibri"/>
        <family val="2"/>
      </rPr>
      <t xml:space="preserve"> (3)</t>
    </r>
  </si>
  <si>
    <t>Estimated food insecure rural households</t>
  </si>
  <si>
    <r>
      <t xml:space="preserve">Estimated households of DEFIS+ </t>
    </r>
    <r>
      <rPr>
        <b/>
        <sz val="9"/>
        <color theme="9" tint="-0.249977111117893"/>
        <rFont val="Calibri"/>
        <family val="2"/>
      </rPr>
      <t>(approx. 25% of vulnerable rural households)</t>
    </r>
  </si>
  <si>
    <t>Male</t>
  </si>
  <si>
    <t>Female</t>
  </si>
  <si>
    <t>Total</t>
  </si>
  <si>
    <t>Haute Matsiatra</t>
  </si>
  <si>
    <t>Amoron'i Mania</t>
  </si>
  <si>
    <r>
      <t xml:space="preserve">Estimated direct beneficiaries of DEFIS+ 
(final target) </t>
    </r>
    <r>
      <rPr>
        <b/>
        <sz val="9"/>
        <color rgb="FFC00000"/>
        <rFont val="Calibri"/>
        <family val="2"/>
      </rPr>
      <t>(4)</t>
    </r>
  </si>
  <si>
    <t>Estimated direct beneficiaries of DEFIS+ 
(mid-term target)</t>
  </si>
  <si>
    <t>Estimated indirect beneficiaries of DEFIS+ 
(final target)</t>
  </si>
  <si>
    <t>Estimated indirect beneficiaries of DEFIS+ 
(mi-term target)</t>
  </si>
  <si>
    <t>Total beneficiaries of DEFIS+ 
(direct and indirect)
(end target)</t>
  </si>
  <si>
    <t>Total beneficiaries of DEFIS+ 
(direct and indirect) 
(mid-term target)</t>
  </si>
  <si>
    <t>Vatovavy Fitovinany</t>
  </si>
  <si>
    <t>Ihorombe</t>
  </si>
  <si>
    <t>Atsimo Atsinanana</t>
  </si>
  <si>
    <t>M</t>
  </si>
  <si>
    <t>F</t>
  </si>
  <si>
    <t>Youth</t>
  </si>
  <si>
    <t>TOTAL ZONE DEFIS+ GCF</t>
  </si>
  <si>
    <t>Sources</t>
  </si>
  <si>
    <t>(1) et (2) INSTAT – General Population and Housing Census (RGPH 2018)</t>
  </si>
  <si>
    <t>Average size of the HH</t>
  </si>
  <si>
    <t>(3) INSTAT, WFP &amp; FAO – Food and Nutrition Security and Vulnerability Analysis (2014 &amp; 2019)</t>
  </si>
  <si>
    <t>(4) 4.3 people per rural household according to the RGPH 2018</t>
  </si>
  <si>
    <t>Indicator</t>
  </si>
  <si>
    <t>Adotpion rate</t>
  </si>
  <si>
    <t>Estimated direct beneficiaries of DEFIS+ (final target)</t>
  </si>
  <si>
    <t>Estimated direct beneficiaries of DEFIS+ (mid-term target)</t>
  </si>
  <si>
    <t>Estimated indirect beneficiaries of DEFIS+ (final target)</t>
  </si>
  <si>
    <t>Core 2: Direct and indirect beneficiaries reached</t>
  </si>
  <si>
    <t>Supplementary 2.1: Beneficiaries (female/male) adopting improved and/or new climate-resilient livelihood options</t>
  </si>
  <si>
    <t>Supplementary 2.3: Beneficiaries (female/male) with more climate-resilient water security</t>
  </si>
  <si>
    <t xml:space="preserve">Supplementary 2.2: Beneficiaries (female/male) with improved food security </t>
  </si>
  <si>
    <t>Number of farmers engaged in the effective management of connects sub–watersheds and irrigated perimeters and adopting improved water management techniques</t>
  </si>
  <si>
    <t>Number of farmers with access to agro-climate data</t>
  </si>
  <si>
    <t>Number of farmers reporting the adoption of new/improved technologies, practices, or inputs</t>
  </si>
  <si>
    <t>Number of farmers using renewable energy and energy efficient and water efficient technologies</t>
  </si>
  <si>
    <t xml:space="preserve">Number of trainers, actors and professionals trained on new standards and whose maintenance capacity has improved as a result  </t>
  </si>
  <si>
    <t>Number of farmers trained in climate-resilient agricultural production technologies and practices and indicating that their knowledge of climate adaptive practices has increased</t>
  </si>
  <si>
    <t xml:space="preserve">The project’s direct beneficiaries meet two conditions: </t>
  </si>
  <si>
    <r>
      <rPr>
        <b/>
        <sz val="11"/>
        <color theme="1"/>
        <rFont val="Calibri"/>
        <family val="2"/>
        <scheme val="minor"/>
      </rPr>
      <t>CONDITION 1:</t>
    </r>
    <r>
      <rPr>
        <sz val="11"/>
        <color theme="1"/>
        <rFont val="Calibri"/>
        <family val="2"/>
        <scheme val="minor"/>
      </rPr>
      <t xml:space="preserve"> Receiving direct interventions from the GCF funded project. The 447,200 beneficiaries will be benefitting from the following interventions: i.) The development of efficient water management systems; ii.) Regular access to reliable-climate data; iii.) The diffusion and adoption of resilient agricultural inputs, new technologies and management practices; iv.) Improved climate resilience of basic rural infrastructure; v.) Training and capacity building services; vi.) Knowledge management on the adaptation of food production systems to climate change and on carbon sequestration.
</t>
    </r>
  </si>
  <si>
    <r>
      <rPr>
        <b/>
        <sz val="11"/>
        <color theme="1"/>
        <rFont val="Calibri"/>
        <family val="2"/>
        <scheme val="minor"/>
      </rPr>
      <t>CONDITION 2:</t>
    </r>
    <r>
      <rPr>
        <sz val="11"/>
        <color theme="1"/>
        <rFont val="Calibri"/>
        <family val="2"/>
        <scheme val="minor"/>
      </rPr>
      <t xml:space="preserve"> Receiving measurable adaptation benefits. The above interventions will directly lead to measurable adaptation benefits including: increased resilience to climate change, increased food and water security, and improved livelihoods. The ToC describes the way in which the interventions will lead to these benefits. Food security, for example, is enhanced through improved agricultural production whilst improved water security will be achieved through better water management practices. </t>
    </r>
  </si>
  <si>
    <t>Explanation on Core 2 project beneficiaries</t>
  </si>
  <si>
    <t xml:space="preserve">Core 2 project beneficiaries are the same across all four GCF result areas, as, at the moment, it is not possible to identify exactly the numbers that will benefit from ecosystem services rather infrastructure development, or health and food security. Selection of beneficiaries will be done following the criteria outlined in Annex 18. Beneficiaries for each GCF result area will be identified and prioritized based on vulnerability criteria. The total will remain 447,200 and double counting will be avoided. </t>
  </si>
  <si>
    <t>Explanation on Supplementary indicator 2.3</t>
  </si>
  <si>
    <t xml:space="preserve">Supplementary Indicator 2.3: Beneficiaries (female/male) with more climate-resilient water security: This refers to the number of farmers using renewable energy and energy efficient and water efficient technologies (ARA3) leading to improved and more reliable (year-round and year-to year) access to safe, sufficient and affordable water to meet basic needs for drinking, sanitation and hygiene. </t>
  </si>
  <si>
    <t xml:space="preserve">Calculation of Indirect beneficiaries </t>
  </si>
  <si>
    <t>The indirect beneficiaries are calculated as entire population in the region deducted by the number of direct beneficiaries</t>
  </si>
  <si>
    <t xml:space="preserve">Explanation of adaptation benefits of indirect beneficiaries </t>
  </si>
  <si>
    <t>1. Community members may benefit from job creations when the there are recruitments for local labor during construction.
2. For watershed protection activities:  These activities also have indirect benefits by preventing landslides that usually cause silting up of rivers downstream. The protection activities are necessary to generate a very important ecosystem service. The recharge of aquifers, the improvement of water infiltration capacity and water retention can ensure the downstream availability and quality of water for indirect beneficiaries.
3. The establishment of reforestation, agroforestry: Agroecology would allow populations to benefit from other ecosystem services of supplies such as the supply of wood, biomass and medicinal plants. There may also be improved income through the development of beekeeping following the planting of melliferous plants.                                                                                                                                                                                                                                                                Other ecosystem services such as strengthening local biodiversity could support local people.
4. Indirect beneficiaries will also benefit from climate information through word of mouth.
5. Access to public services by rehabilitating tracks for other indirect beneficiaries:  Access to other services, e.g. health, administrative services, market
6. The indirect beneficiaries constitute the potential buyers of the agricultural products produced by the direct beneficiaries. 7. The replication of the activities carried out by the direct beneficiaries also constitutes benefits derived by the indirect beneficiaries.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</si>
</sst>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b/>
      <sz val="10"/>
      <color theme="1"/>
      <name val="Candara"/>
      <family val="2"/>
    </font>
    <font>
      <b/>
      <sz val="9"/>
      <color rgb="FF000000"/>
      <name val="Calibri"/>
      <family val="2"/>
    </font>
    <font>
      <sz val="9"/>
      <color rgb="FF000000"/>
      <name val="Calibri"/>
      <family val="2"/>
    </font>
    <font>
      <i/>
      <sz val="8"/>
      <name val="Calibri"/>
      <family val="2"/>
    </font>
    <font>
      <sz val="8"/>
      <color theme="1"/>
      <name val="Calibri"/>
      <family val="2"/>
      <scheme val="minor"/>
    </font>
    <font>
      <b/>
      <sz val="8"/>
      <color rgb="FF000000"/>
      <name val="Calibri"/>
      <family val="2"/>
    </font>
    <font>
      <b/>
      <sz val="8"/>
      <color rgb="FFC00000"/>
      <name val="Calibri"/>
      <family val="2"/>
    </font>
    <font>
      <sz val="9"/>
      <color rgb="FF000000"/>
      <name val="Arial"/>
      <family val="2"/>
    </font>
    <font>
      <b/>
      <sz val="9"/>
      <color rgb="FFFF0000"/>
      <name val="Calibri"/>
      <family val="2"/>
    </font>
    <font>
      <b/>
      <sz val="9"/>
      <name val="Calibri"/>
      <family val="2"/>
    </font>
    <font>
      <b/>
      <sz val="9"/>
      <color theme="9" tint="-0.249977111117893"/>
      <name val="Calibri"/>
      <family val="2"/>
    </font>
    <font>
      <sz val="9"/>
      <color rgb="FFFF0000"/>
      <name val="Calibri"/>
      <family val="2"/>
    </font>
    <font>
      <sz val="9"/>
      <color theme="1"/>
      <name val="Calibri"/>
      <family val="2"/>
      <scheme val="minor"/>
    </font>
    <font>
      <b/>
      <sz val="9"/>
      <color rgb="FFC00000"/>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77">
    <xf numFmtId="0" fontId="0" fillId="0" borderId="0" xfId="0"/>
    <xf numFmtId="0" fontId="3" fillId="0" borderId="0" xfId="0" applyFont="1" applyAlignment="1">
      <alignment horizontal="left" vertical="center"/>
    </xf>
    <xf numFmtId="3" fontId="5" fillId="0" borderId="1" xfId="0" applyNumberFormat="1" applyFont="1" applyBorder="1" applyAlignment="1">
      <alignment horizontal="right" vertical="center"/>
    </xf>
    <xf numFmtId="0" fontId="5" fillId="0" borderId="0" xfId="0" applyFont="1" applyAlignment="1">
      <alignment horizontal="center" vertical="center" textRotation="90" wrapText="1"/>
    </xf>
    <xf numFmtId="3" fontId="4" fillId="0" borderId="0" xfId="0" applyNumberFormat="1" applyFont="1" applyAlignment="1">
      <alignment horizontal="right" vertical="center"/>
    </xf>
    <xf numFmtId="164" fontId="5" fillId="0" borderId="1" xfId="1" applyNumberFormat="1" applyFont="1" applyFill="1" applyBorder="1" applyAlignment="1">
      <alignment horizontal="right" vertical="center"/>
    </xf>
    <xf numFmtId="0" fontId="0" fillId="0" borderId="0" xfId="0" applyAlignment="1">
      <alignment wrapText="1"/>
    </xf>
    <xf numFmtId="0" fontId="6" fillId="0" borderId="0" xfId="0" applyFont="1" applyAlignment="1">
      <alignment horizontal="right" vertical="center"/>
    </xf>
    <xf numFmtId="0" fontId="7" fillId="0" borderId="0" xfId="0" applyFont="1"/>
    <xf numFmtId="3" fontId="5" fillId="0" borderId="1" xfId="1" applyNumberFormat="1" applyFont="1" applyFill="1" applyBorder="1" applyAlignment="1">
      <alignment horizontal="right" vertical="center"/>
    </xf>
    <xf numFmtId="0" fontId="4" fillId="2" borderId="1" xfId="0" applyFont="1" applyFill="1" applyBorder="1" applyAlignment="1">
      <alignment horizontal="center" vertical="center" wrapText="1"/>
    </xf>
    <xf numFmtId="0" fontId="0" fillId="2" borderId="1" xfId="0" applyFill="1" applyBorder="1"/>
    <xf numFmtId="0" fontId="4" fillId="3" borderId="1" xfId="0" applyFont="1" applyFill="1" applyBorder="1" applyAlignment="1">
      <alignment horizontal="center" vertical="center" wrapText="1"/>
    </xf>
    <xf numFmtId="10" fontId="0" fillId="3" borderId="1" xfId="0" applyNumberFormat="1" applyFill="1" applyBorder="1"/>
    <xf numFmtId="3" fontId="4" fillId="2" borderId="1" xfId="0" applyNumberFormat="1" applyFont="1" applyFill="1" applyBorder="1" applyAlignment="1">
      <alignment horizontal="right" vertical="center"/>
    </xf>
    <xf numFmtId="0" fontId="6" fillId="0" borderId="0" xfId="0" applyFont="1" applyAlignment="1">
      <alignment horizontal="left" vertical="center" wrapText="1"/>
    </xf>
    <xf numFmtId="9" fontId="0" fillId="0" borderId="0" xfId="0" applyNumberFormat="1"/>
    <xf numFmtId="0" fontId="10" fillId="0" borderId="0" xfId="0" applyFont="1"/>
    <xf numFmtId="0" fontId="0" fillId="3" borderId="4" xfId="0" applyFill="1" applyBorder="1"/>
    <xf numFmtId="0" fontId="0" fillId="3" borderId="5" xfId="0" applyFill="1" applyBorder="1"/>
    <xf numFmtId="0" fontId="0" fillId="3" borderId="6" xfId="0" applyFill="1" applyBorder="1"/>
    <xf numFmtId="43" fontId="0" fillId="0" borderId="0" xfId="2" applyFont="1"/>
    <xf numFmtId="9" fontId="5" fillId="0" borderId="1" xfId="1" applyFont="1" applyFill="1" applyBorder="1" applyAlignment="1">
      <alignment horizontal="right" vertical="center"/>
    </xf>
    <xf numFmtId="9" fontId="5" fillId="0" borderId="3" xfId="1" applyFont="1" applyFill="1" applyBorder="1" applyAlignment="1">
      <alignment horizontal="right" vertical="center"/>
    </xf>
    <xf numFmtId="1" fontId="0" fillId="0" borderId="0" xfId="0" applyNumberFormat="1"/>
    <xf numFmtId="0" fontId="5" fillId="0" borderId="1" xfId="0" applyFont="1" applyBorder="1" applyAlignment="1">
      <alignment horizontal="left" vertical="center" wrapText="1"/>
    </xf>
    <xf numFmtId="165" fontId="14" fillId="0" borderId="1" xfId="1" applyNumberFormat="1" applyFont="1" applyFill="1" applyBorder="1" applyAlignment="1">
      <alignment horizontal="right" vertical="center"/>
    </xf>
    <xf numFmtId="1" fontId="0" fillId="0" borderId="0" xfId="1" applyNumberFormat="1" applyFont="1"/>
    <xf numFmtId="43" fontId="7" fillId="0" borderId="0" xfId="2" applyFont="1" applyAlignment="1"/>
    <xf numFmtId="9" fontId="0" fillId="0" borderId="0" xfId="1" applyFont="1" applyAlignment="1"/>
    <xf numFmtId="43" fontId="0" fillId="0" borderId="0" xfId="2" applyFont="1" applyAlignment="1">
      <alignment vertical="center"/>
    </xf>
    <xf numFmtId="0" fontId="0" fillId="4" borderId="0" xfId="0" applyFill="1" applyAlignment="1">
      <alignment vertical="top" wrapText="1"/>
    </xf>
    <xf numFmtId="0" fontId="0" fillId="0" borderId="0" xfId="0" applyAlignment="1">
      <alignment vertical="top" wrapText="1"/>
    </xf>
    <xf numFmtId="0" fontId="2" fillId="4" borderId="0" xfId="0" applyFont="1" applyFill="1"/>
    <xf numFmtId="165" fontId="5" fillId="0" borderId="1" xfId="1" applyNumberFormat="1" applyFont="1" applyFill="1" applyBorder="1" applyAlignment="1">
      <alignment horizontal="right" vertical="center"/>
    </xf>
    <xf numFmtId="3" fontId="5" fillId="0" borderId="7" xfId="1" applyNumberFormat="1" applyFont="1" applyFill="1" applyBorder="1" applyAlignment="1">
      <alignment horizontal="right" vertical="center"/>
    </xf>
    <xf numFmtId="3" fontId="11" fillId="2" borderId="3" xfId="0" applyNumberFormat="1" applyFont="1" applyFill="1" applyBorder="1" applyAlignment="1">
      <alignment horizontal="right" vertical="center"/>
    </xf>
    <xf numFmtId="3" fontId="12" fillId="2" borderId="3" xfId="0" applyNumberFormat="1" applyFont="1" applyFill="1" applyBorder="1" applyAlignment="1">
      <alignment horizontal="right" vertical="center"/>
    </xf>
    <xf numFmtId="3" fontId="4" fillId="2" borderId="3" xfId="0" applyNumberFormat="1" applyFont="1" applyFill="1" applyBorder="1" applyAlignment="1">
      <alignment horizontal="right" vertical="center"/>
    </xf>
    <xf numFmtId="3" fontId="5" fillId="0" borderId="11" xfId="1" applyNumberFormat="1" applyFont="1" applyFill="1" applyBorder="1" applyAlignment="1">
      <alignment horizontal="right" vertical="center"/>
    </xf>
    <xf numFmtId="3" fontId="12" fillId="2" borderId="8" xfId="0" applyNumberFormat="1" applyFont="1" applyFill="1" applyBorder="1" applyAlignment="1">
      <alignment horizontal="right" vertical="center"/>
    </xf>
    <xf numFmtId="3" fontId="4" fillId="2" borderId="13" xfId="0" applyNumberFormat="1" applyFont="1" applyFill="1" applyBorder="1" applyAlignment="1">
      <alignment horizontal="right" vertical="center"/>
    </xf>
    <xf numFmtId="0" fontId="4" fillId="0" borderId="0" xfId="0" applyFont="1" applyAlignment="1">
      <alignment horizontal="center" vertical="center" wrapText="1"/>
    </xf>
    <xf numFmtId="0" fontId="11" fillId="0" borderId="0" xfId="0" applyFont="1" applyAlignment="1">
      <alignment horizontal="center" vertical="center" wrapText="1"/>
    </xf>
    <xf numFmtId="164" fontId="0" fillId="0" borderId="0" xfId="1" applyNumberFormat="1" applyFont="1"/>
    <xf numFmtId="164" fontId="5" fillId="0" borderId="0" xfId="1" applyNumberFormat="1" applyFont="1" applyFill="1" applyBorder="1" applyAlignment="1">
      <alignment horizontal="right" vertical="center"/>
    </xf>
    <xf numFmtId="43" fontId="15" fillId="0" borderId="0" xfId="2" applyFont="1"/>
    <xf numFmtId="3" fontId="0" fillId="0" borderId="0" xfId="0" applyNumberFormat="1"/>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4" fillId="3" borderId="8"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2" fillId="0" borderId="2" xfId="0" applyFont="1" applyBorder="1" applyAlignment="1">
      <alignment horizontal="center"/>
    </xf>
    <xf numFmtId="0" fontId="6" fillId="0" borderId="0" xfId="0" applyFont="1" applyAlignment="1">
      <alignment horizontal="left" vertical="center"/>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3" fontId="5" fillId="0" borderId="1" xfId="1" applyNumberFormat="1" applyFont="1" applyFill="1" applyBorder="1" applyAlignment="1">
      <alignment horizontal="left" vertical="center" wrapText="1"/>
    </xf>
    <xf numFmtId="3" fontId="5" fillId="0" borderId="4" xfId="1" applyNumberFormat="1" applyFont="1" applyFill="1" applyBorder="1" applyAlignment="1">
      <alignment horizontal="left" vertical="center" wrapText="1"/>
    </xf>
    <xf numFmtId="3" fontId="5" fillId="0" borderId="5" xfId="1" applyNumberFormat="1" applyFont="1" applyFill="1" applyBorder="1" applyAlignment="1">
      <alignment horizontal="left" vertical="center" wrapText="1"/>
    </xf>
    <xf numFmtId="3" fontId="5" fillId="0" borderId="6" xfId="1" applyNumberFormat="1" applyFont="1" applyFill="1" applyBorder="1" applyAlignment="1">
      <alignment horizontal="left" vertical="center" wrapText="1"/>
    </xf>
    <xf numFmtId="0" fontId="6" fillId="0" borderId="0" xfId="0" applyFont="1" applyAlignment="1">
      <alignment horizontal="left" vertical="center" wrapText="1"/>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33"/>
  <sheetViews>
    <sheetView tabSelected="1" topLeftCell="A19" zoomScaleNormal="100" workbookViewId="0">
      <selection activeCell="AM24" sqref="AM24"/>
    </sheetView>
  </sheetViews>
  <sheetFormatPr defaultColWidth="19.85546875" defaultRowHeight="14.45"/>
  <cols>
    <col min="1" max="1" width="23.7109375" customWidth="1"/>
    <col min="2" max="2" width="7.42578125" bestFit="1" customWidth="1"/>
    <col min="3" max="3" width="10.42578125" bestFit="1" customWidth="1"/>
    <col min="4" max="4" width="7.85546875" bestFit="1" customWidth="1"/>
    <col min="5" max="5" width="12.42578125" bestFit="1" customWidth="1"/>
    <col min="6" max="6" width="12.42578125" customWidth="1"/>
    <col min="7" max="7" width="14.42578125" customWidth="1"/>
    <col min="8" max="8" width="14.140625" customWidth="1"/>
    <col min="9" max="9" width="2.7109375" customWidth="1"/>
    <col min="10" max="10" width="20.85546875" customWidth="1"/>
    <col min="11" max="11" width="12.7109375" customWidth="1"/>
    <col min="12" max="12" width="8.42578125" customWidth="1"/>
    <col min="13" max="13" width="8.7109375" customWidth="1"/>
    <col min="14" max="14" width="8.28515625" customWidth="1"/>
    <col min="15" max="15" width="7" customWidth="1"/>
    <col min="16" max="16" width="7.7109375" customWidth="1"/>
    <col min="17" max="17" width="7.42578125" customWidth="1"/>
    <col min="18" max="19" width="6.7109375" customWidth="1"/>
    <col min="20" max="20" width="3.140625" customWidth="1"/>
    <col min="21" max="21" width="8.7109375" customWidth="1"/>
    <col min="22" max="23" width="7.85546875" bestFit="1" customWidth="1"/>
    <col min="24" max="24" width="8.42578125" customWidth="1"/>
    <col min="25" max="25" width="7.5703125" customWidth="1"/>
    <col min="26" max="26" width="7" customWidth="1"/>
    <col min="27" max="27" width="7.7109375" customWidth="1"/>
    <col min="28" max="28" width="8.5703125" customWidth="1"/>
    <col min="29" max="29" width="2.5703125" customWidth="1"/>
    <col min="30" max="30" width="9.28515625" customWidth="1"/>
    <col min="31" max="31" width="7.7109375" customWidth="1"/>
    <col min="32" max="32" width="7.85546875" bestFit="1" customWidth="1"/>
    <col min="33" max="33" width="8.5703125" customWidth="1"/>
    <col min="34" max="34" width="8.28515625" customWidth="1"/>
    <col min="35" max="35" width="7.42578125" customWidth="1"/>
    <col min="36" max="36" width="7.5703125" customWidth="1"/>
    <col min="37" max="37" width="8" customWidth="1"/>
  </cols>
  <sheetData>
    <row r="1" spans="1:37" ht="15" thickBot="1">
      <c r="A1" s="63" t="s">
        <v>0</v>
      </c>
      <c r="B1" s="63"/>
      <c r="C1" s="63"/>
      <c r="D1" s="63"/>
      <c r="E1" s="63"/>
      <c r="F1" s="63"/>
      <c r="G1" s="63"/>
      <c r="H1" s="63"/>
      <c r="I1" s="63"/>
      <c r="J1" s="63"/>
    </row>
    <row r="2" spans="1:37">
      <c r="A2" s="1"/>
    </row>
    <row r="3" spans="1:37" ht="48" customHeight="1">
      <c r="A3" s="65" t="s">
        <v>1</v>
      </c>
      <c r="B3" s="65" t="s">
        <v>2</v>
      </c>
      <c r="C3" s="65"/>
      <c r="D3" s="65"/>
      <c r="E3" s="12" t="s">
        <v>3</v>
      </c>
      <c r="F3" s="12" t="s">
        <v>4</v>
      </c>
      <c r="G3" s="12" t="s">
        <v>5</v>
      </c>
      <c r="H3" s="12" t="s">
        <v>6</v>
      </c>
      <c r="J3" s="12" t="s">
        <v>7</v>
      </c>
      <c r="L3" s="43"/>
      <c r="M3" s="43"/>
      <c r="N3" s="43"/>
      <c r="O3" s="43"/>
      <c r="P3" s="42"/>
      <c r="Q3" s="42"/>
      <c r="R3" s="42"/>
      <c r="S3" s="42"/>
      <c r="U3" s="43"/>
      <c r="V3" s="43"/>
      <c r="W3" s="43"/>
      <c r="X3" s="43"/>
      <c r="Y3" s="42"/>
      <c r="Z3" s="42"/>
      <c r="AA3" s="42"/>
      <c r="AB3" s="42"/>
      <c r="AD3" s="43"/>
      <c r="AE3" s="43"/>
      <c r="AF3" s="43"/>
      <c r="AG3" s="43"/>
      <c r="AH3" s="42"/>
      <c r="AI3" s="42"/>
      <c r="AJ3" s="42"/>
      <c r="AK3" s="42"/>
    </row>
    <row r="4" spans="1:37">
      <c r="A4" s="65"/>
      <c r="B4" s="12" t="s">
        <v>8</v>
      </c>
      <c r="C4" s="12" t="s">
        <v>9</v>
      </c>
      <c r="D4" s="12" t="s">
        <v>10</v>
      </c>
      <c r="E4" s="18"/>
      <c r="F4" s="19"/>
      <c r="G4" s="19"/>
      <c r="H4" s="20"/>
      <c r="J4" s="13"/>
      <c r="K4" s="16"/>
      <c r="L4" s="42"/>
      <c r="M4" s="42"/>
      <c r="N4" s="42"/>
      <c r="O4" s="42"/>
      <c r="P4" s="42"/>
      <c r="Q4" s="42"/>
      <c r="R4" s="42"/>
      <c r="S4" s="42"/>
      <c r="U4" s="42"/>
      <c r="V4" s="42"/>
      <c r="W4" s="42"/>
      <c r="X4" s="42"/>
      <c r="Y4" s="42"/>
      <c r="Z4" s="42"/>
      <c r="AA4" s="42"/>
      <c r="AB4" s="42"/>
      <c r="AD4" s="42"/>
      <c r="AE4" s="42"/>
      <c r="AF4" s="42"/>
      <c r="AG4" s="42"/>
      <c r="AH4" s="42"/>
      <c r="AI4" s="42"/>
      <c r="AJ4" s="42"/>
      <c r="AK4" s="42"/>
    </row>
    <row r="5" spans="1:37">
      <c r="A5" s="25" t="s">
        <v>11</v>
      </c>
      <c r="B5" s="2">
        <v>188367</v>
      </c>
      <c r="C5" s="2">
        <v>47342</v>
      </c>
      <c r="D5" s="2">
        <v>235709</v>
      </c>
      <c r="E5" s="5">
        <v>0.80500000000000005</v>
      </c>
      <c r="F5" s="9">
        <f>D5*E5</f>
        <v>189745.74500000002</v>
      </c>
      <c r="G5" s="5">
        <v>0.29099999999999998</v>
      </c>
      <c r="H5" s="9">
        <f>D5*G5</f>
        <v>68591.318999999989</v>
      </c>
      <c r="J5" s="34">
        <f>H5*19.58%</f>
        <v>13430.180260199995</v>
      </c>
      <c r="K5" s="27"/>
      <c r="L5" s="39"/>
      <c r="M5" s="39"/>
      <c r="N5" s="39"/>
      <c r="O5" s="39"/>
      <c r="P5" s="39"/>
      <c r="Q5" s="39"/>
      <c r="R5" s="39"/>
      <c r="S5" s="39"/>
      <c r="U5" s="39"/>
      <c r="V5" s="39"/>
      <c r="W5" s="39"/>
      <c r="X5" s="39"/>
      <c r="Y5" s="39"/>
      <c r="Z5" s="39"/>
      <c r="AA5" s="39"/>
      <c r="AB5" s="39"/>
      <c r="AD5" s="39"/>
      <c r="AE5" s="39"/>
      <c r="AF5" s="39"/>
      <c r="AG5" s="39"/>
      <c r="AH5" s="39"/>
      <c r="AI5" s="39"/>
      <c r="AJ5" s="39"/>
      <c r="AK5" s="39"/>
    </row>
    <row r="6" spans="1:37" ht="15" customHeight="1">
      <c r="A6" s="25" t="s">
        <v>12</v>
      </c>
      <c r="B6" s="2">
        <v>111954</v>
      </c>
      <c r="C6" s="2">
        <v>35397</v>
      </c>
      <c r="D6" s="2">
        <v>147351</v>
      </c>
      <c r="E6" s="5">
        <v>0.85099999999999998</v>
      </c>
      <c r="F6" s="9">
        <f t="shared" ref="F6:F9" si="0">D6*E6</f>
        <v>125395.701</v>
      </c>
      <c r="G6" s="5">
        <v>0.30499999999999999</v>
      </c>
      <c r="H6" s="9">
        <f t="shared" ref="H6:H9" si="1">D6*G6</f>
        <v>44942.055</v>
      </c>
      <c r="J6" s="34">
        <f>H6*20%</f>
        <v>8988.4110000000001</v>
      </c>
      <c r="K6" s="27"/>
      <c r="L6" s="57" t="s">
        <v>13</v>
      </c>
      <c r="M6" s="58"/>
      <c r="N6" s="58"/>
      <c r="O6" s="59"/>
      <c r="P6" s="51" t="s">
        <v>14</v>
      </c>
      <c r="Q6" s="52"/>
      <c r="R6" s="52"/>
      <c r="S6" s="53"/>
      <c r="U6" s="57" t="s">
        <v>15</v>
      </c>
      <c r="V6" s="58"/>
      <c r="W6" s="58"/>
      <c r="X6" s="59"/>
      <c r="Y6" s="51" t="s">
        <v>16</v>
      </c>
      <c r="Z6" s="52"/>
      <c r="AA6" s="52"/>
      <c r="AB6" s="53"/>
      <c r="AD6" s="57" t="s">
        <v>17</v>
      </c>
      <c r="AE6" s="58"/>
      <c r="AF6" s="58"/>
      <c r="AG6" s="59"/>
      <c r="AH6" s="51" t="s">
        <v>18</v>
      </c>
      <c r="AI6" s="52"/>
      <c r="AJ6" s="52"/>
      <c r="AK6" s="53"/>
    </row>
    <row r="7" spans="1:37" ht="15" customHeight="1">
      <c r="A7" s="25" t="s">
        <v>19</v>
      </c>
      <c r="B7" s="2">
        <v>216671</v>
      </c>
      <c r="C7" s="2">
        <v>64384</v>
      </c>
      <c r="D7" s="2">
        <v>281055</v>
      </c>
      <c r="E7" s="5">
        <v>0.92300000000000004</v>
      </c>
      <c r="F7" s="9">
        <f t="shared" si="0"/>
        <v>259413.76500000001</v>
      </c>
      <c r="G7" s="5">
        <v>0.61</v>
      </c>
      <c r="H7" s="9">
        <f t="shared" si="1"/>
        <v>171443.55</v>
      </c>
      <c r="J7" s="34">
        <f>H7*27%</f>
        <v>46289.758499999996</v>
      </c>
      <c r="K7" s="27"/>
      <c r="L7" s="57"/>
      <c r="M7" s="58"/>
      <c r="N7" s="58"/>
      <c r="O7" s="59"/>
      <c r="P7" s="51"/>
      <c r="Q7" s="52"/>
      <c r="R7" s="52"/>
      <c r="S7" s="53"/>
      <c r="U7" s="57"/>
      <c r="V7" s="58"/>
      <c r="W7" s="58"/>
      <c r="X7" s="59"/>
      <c r="Y7" s="51"/>
      <c r="Z7" s="52"/>
      <c r="AA7" s="52"/>
      <c r="AB7" s="53"/>
      <c r="AD7" s="57"/>
      <c r="AE7" s="58"/>
      <c r="AF7" s="58"/>
      <c r="AG7" s="59"/>
      <c r="AH7" s="51"/>
      <c r="AI7" s="52"/>
      <c r="AJ7" s="52"/>
      <c r="AK7" s="53"/>
    </row>
    <row r="8" spans="1:37" ht="15" customHeight="1">
      <c r="A8" s="25" t="s">
        <v>20</v>
      </c>
      <c r="B8" s="2">
        <v>65596</v>
      </c>
      <c r="C8" s="2">
        <v>17016</v>
      </c>
      <c r="D8" s="2">
        <v>82612</v>
      </c>
      <c r="E8" s="5">
        <v>0.83499999999999996</v>
      </c>
      <c r="F8" s="9">
        <f t="shared" si="0"/>
        <v>68981.02</v>
      </c>
      <c r="G8" s="5">
        <v>0.32800000000000001</v>
      </c>
      <c r="H8" s="9">
        <f t="shared" si="1"/>
        <v>27096.736000000001</v>
      </c>
      <c r="J8" s="34">
        <f>H8*19.989%</f>
        <v>5416.3665590400005</v>
      </c>
      <c r="K8" s="27"/>
      <c r="L8" s="60"/>
      <c r="M8" s="61"/>
      <c r="N8" s="61"/>
      <c r="O8" s="62"/>
      <c r="P8" s="54"/>
      <c r="Q8" s="55"/>
      <c r="R8" s="55"/>
      <c r="S8" s="56"/>
      <c r="U8" s="60"/>
      <c r="V8" s="61"/>
      <c r="W8" s="61"/>
      <c r="X8" s="62"/>
      <c r="Y8" s="54"/>
      <c r="Z8" s="55"/>
      <c r="AA8" s="55"/>
      <c r="AB8" s="56"/>
      <c r="AD8" s="60"/>
      <c r="AE8" s="61"/>
      <c r="AF8" s="61"/>
      <c r="AG8" s="62"/>
      <c r="AH8" s="54"/>
      <c r="AI8" s="55"/>
      <c r="AJ8" s="55"/>
      <c r="AK8" s="56"/>
    </row>
    <row r="9" spans="1:37">
      <c r="A9" s="25" t="s">
        <v>21</v>
      </c>
      <c r="B9" s="2">
        <v>138433</v>
      </c>
      <c r="C9" s="2">
        <v>42961</v>
      </c>
      <c r="D9" s="2">
        <v>181394</v>
      </c>
      <c r="E9" s="5">
        <v>0.95</v>
      </c>
      <c r="F9" s="9">
        <f t="shared" si="0"/>
        <v>172324.3</v>
      </c>
      <c r="G9" s="5">
        <v>0.61</v>
      </c>
      <c r="H9" s="9">
        <f t="shared" si="1"/>
        <v>110650.34</v>
      </c>
      <c r="J9" s="34">
        <f>H9*27%</f>
        <v>29875.591800000002</v>
      </c>
      <c r="K9" s="27"/>
      <c r="L9" s="12" t="s">
        <v>10</v>
      </c>
      <c r="M9" s="12" t="s">
        <v>22</v>
      </c>
      <c r="N9" s="12" t="s">
        <v>23</v>
      </c>
      <c r="O9" s="12" t="s">
        <v>24</v>
      </c>
      <c r="P9" s="12" t="s">
        <v>10</v>
      </c>
      <c r="Q9" s="12" t="s">
        <v>22</v>
      </c>
      <c r="R9" s="12" t="s">
        <v>23</v>
      </c>
      <c r="S9" s="12" t="s">
        <v>24</v>
      </c>
      <c r="U9" s="12" t="s">
        <v>10</v>
      </c>
      <c r="V9" s="12" t="s">
        <v>22</v>
      </c>
      <c r="W9" s="12" t="s">
        <v>23</v>
      </c>
      <c r="X9" s="12" t="s">
        <v>24</v>
      </c>
      <c r="Y9" s="12" t="s">
        <v>10</v>
      </c>
      <c r="Z9" s="12" t="s">
        <v>22</v>
      </c>
      <c r="AA9" s="12" t="s">
        <v>23</v>
      </c>
      <c r="AB9" s="12" t="s">
        <v>24</v>
      </c>
      <c r="AD9" s="12" t="s">
        <v>10</v>
      </c>
      <c r="AE9" s="12" t="s">
        <v>22</v>
      </c>
      <c r="AF9" s="12" t="s">
        <v>23</v>
      </c>
      <c r="AG9" s="12" t="s">
        <v>24</v>
      </c>
      <c r="AH9" s="12" t="s">
        <v>10</v>
      </c>
      <c r="AI9" s="12" t="s">
        <v>22</v>
      </c>
      <c r="AJ9" s="12" t="s">
        <v>23</v>
      </c>
      <c r="AK9" s="12" t="s">
        <v>24</v>
      </c>
    </row>
    <row r="10" spans="1:37">
      <c r="A10" s="10" t="s">
        <v>25</v>
      </c>
      <c r="B10" s="14">
        <f>SUM(B5:B9)</f>
        <v>721021</v>
      </c>
      <c r="C10" s="14">
        <f t="shared" ref="C10:J10" si="2">SUM(C5:C9)</f>
        <v>207100</v>
      </c>
      <c r="D10" s="14">
        <f t="shared" si="2"/>
        <v>928121</v>
      </c>
      <c r="E10" s="11"/>
      <c r="F10" s="14">
        <f t="shared" si="2"/>
        <v>815860.53099999996</v>
      </c>
      <c r="G10" s="11"/>
      <c r="H10" s="14">
        <f t="shared" si="2"/>
        <v>422724</v>
      </c>
      <c r="J10" s="14">
        <f t="shared" si="2"/>
        <v>104000.30811923998</v>
      </c>
      <c r="K10" s="24"/>
      <c r="L10" s="36">
        <f>J5*K12+J6*K12+J7*K12+J8*K12+J9*K12</f>
        <v>447201.32491273194</v>
      </c>
      <c r="M10" s="37">
        <f>L10/2</f>
        <v>223600.66245636597</v>
      </c>
      <c r="N10" s="37">
        <f>L10-M10-1</f>
        <v>223599.66245636597</v>
      </c>
      <c r="O10" s="37">
        <f>L10*(30/100)</f>
        <v>134160.39747381958</v>
      </c>
      <c r="P10" s="38">
        <f>(J5*K12+J6*K12+J7*K12+J8*K12+J9*K12)*(40/100)</f>
        <v>178880.52996509278</v>
      </c>
      <c r="Q10" s="37">
        <f>P10/2</f>
        <v>89440.264982546389</v>
      </c>
      <c r="R10" s="37">
        <f>P10-Q10+1</f>
        <v>89441.264982546389</v>
      </c>
      <c r="S10" s="37">
        <f>P10*30%</f>
        <v>53664.15898952783</v>
      </c>
      <c r="U10" s="36">
        <f>AD10-L10</f>
        <v>3543718.9750872678</v>
      </c>
      <c r="V10" s="37">
        <f>U10/2</f>
        <v>1771859.4875436339</v>
      </c>
      <c r="W10" s="37">
        <f>U10-V10+1</f>
        <v>1771860.4875436339</v>
      </c>
      <c r="X10" s="40">
        <f>U10*30%</f>
        <v>1063115.6925261803</v>
      </c>
      <c r="Y10" s="41">
        <f>AH10-P10</f>
        <v>1417487.5900349072</v>
      </c>
      <c r="Z10" s="37">
        <f>Y10/2</f>
        <v>708743.79501745361</v>
      </c>
      <c r="AA10" s="37">
        <f>Y10-Z10</f>
        <v>708743.79501745361</v>
      </c>
      <c r="AB10" s="37">
        <f>Y10*30%</f>
        <v>425246.27701047214</v>
      </c>
      <c r="AD10" s="36">
        <f>(D5*K12+D6*K12+D7*K12+D8*K12+D9*K12)</f>
        <v>3990920.3</v>
      </c>
      <c r="AE10" s="37">
        <f>AD10/2</f>
        <v>1995460.15</v>
      </c>
      <c r="AF10" s="37">
        <f>AD10-AE10</f>
        <v>1995460.15</v>
      </c>
      <c r="AG10" s="37">
        <f>AD10*30%</f>
        <v>1197276.0899999999</v>
      </c>
      <c r="AH10" s="38">
        <f>(40/100)*AD10</f>
        <v>1596368.12</v>
      </c>
      <c r="AI10" s="37">
        <f>AH10/2</f>
        <v>798184.06</v>
      </c>
      <c r="AJ10" s="37">
        <f>AH10-AI10</f>
        <v>798184.06</v>
      </c>
      <c r="AK10" s="37">
        <f>AH10*30%</f>
        <v>478910.43599999999</v>
      </c>
    </row>
    <row r="11" spans="1:37">
      <c r="A11" s="3"/>
      <c r="B11" s="4"/>
      <c r="C11" s="4"/>
      <c r="D11" s="4"/>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row>
    <row r="12" spans="1:37">
      <c r="A12" s="7" t="s">
        <v>26</v>
      </c>
      <c r="B12" s="64" t="s">
        <v>27</v>
      </c>
      <c r="C12" s="64"/>
      <c r="D12" s="64"/>
      <c r="E12" s="64"/>
      <c r="F12" s="64"/>
      <c r="G12" s="64"/>
      <c r="H12" s="64"/>
      <c r="J12" s="12" t="s">
        <v>28</v>
      </c>
      <c r="K12" s="26">
        <v>4.3</v>
      </c>
      <c r="M12" s="44"/>
      <c r="U12" s="45"/>
      <c r="AB12" s="29"/>
      <c r="AD12" s="28"/>
    </row>
    <row r="13" spans="1:37">
      <c r="A13" s="8"/>
      <c r="B13" s="76" t="s">
        <v>29</v>
      </c>
      <c r="C13" s="76"/>
      <c r="D13" s="76"/>
      <c r="E13" s="76"/>
      <c r="F13" s="76"/>
      <c r="G13" s="76"/>
      <c r="H13" s="76"/>
      <c r="N13" s="47"/>
      <c r="O13" s="24"/>
      <c r="P13" s="24"/>
      <c r="Q13" s="24"/>
      <c r="R13" s="24"/>
      <c r="S13" s="24"/>
      <c r="T13" s="24"/>
      <c r="U13" s="24"/>
      <c r="V13" s="24"/>
      <c r="W13" s="24"/>
      <c r="X13" s="24"/>
    </row>
    <row r="14" spans="1:37">
      <c r="A14" s="8"/>
      <c r="B14" s="64" t="s">
        <v>30</v>
      </c>
      <c r="C14" s="64"/>
      <c r="D14" s="64"/>
      <c r="E14" s="64"/>
      <c r="F14" s="64"/>
      <c r="G14" s="15"/>
      <c r="H14" s="15"/>
      <c r="O14" s="24"/>
      <c r="P14" s="24"/>
      <c r="Q14" s="24"/>
      <c r="R14" s="24"/>
      <c r="S14" s="24"/>
      <c r="T14" s="24"/>
      <c r="U14" s="24"/>
      <c r="V14" s="24"/>
      <c r="W14" s="24"/>
      <c r="X14" s="24"/>
    </row>
    <row r="15" spans="1:37" ht="39" customHeight="1">
      <c r="B15" s="6"/>
      <c r="H15" s="66" t="s">
        <v>31</v>
      </c>
      <c r="I15" s="67"/>
      <c r="J15" s="68"/>
      <c r="K15" s="12" t="s">
        <v>32</v>
      </c>
      <c r="L15" s="69" t="s">
        <v>33</v>
      </c>
      <c r="M15" s="70"/>
      <c r="N15" s="71"/>
      <c r="O15" s="24"/>
      <c r="P15" s="66" t="s">
        <v>34</v>
      </c>
      <c r="Q15" s="67"/>
      <c r="R15" s="68"/>
      <c r="S15" s="24"/>
      <c r="T15" s="24"/>
      <c r="U15" s="69" t="s">
        <v>35</v>
      </c>
      <c r="V15" s="70"/>
      <c r="W15" s="71"/>
      <c r="X15" s="24"/>
      <c r="Y15" s="66" t="s">
        <v>16</v>
      </c>
      <c r="Z15" s="67"/>
      <c r="AA15" s="68"/>
      <c r="AD15" s="69" t="s">
        <v>17</v>
      </c>
      <c r="AE15" s="70"/>
      <c r="AF15" s="71"/>
      <c r="AH15" s="66" t="s">
        <v>18</v>
      </c>
      <c r="AI15" s="67"/>
      <c r="AJ15" s="68"/>
    </row>
    <row r="16" spans="1:37">
      <c r="B16" s="6"/>
      <c r="H16" s="66"/>
      <c r="I16" s="67"/>
      <c r="J16" s="68"/>
      <c r="K16" s="12"/>
      <c r="L16" s="12" t="s">
        <v>10</v>
      </c>
      <c r="M16" s="12" t="s">
        <v>22</v>
      </c>
      <c r="N16" s="12" t="s">
        <v>23</v>
      </c>
      <c r="O16" s="24"/>
      <c r="P16" s="12" t="s">
        <v>10</v>
      </c>
      <c r="Q16" s="12" t="s">
        <v>22</v>
      </c>
      <c r="R16" s="12" t="s">
        <v>23</v>
      </c>
      <c r="S16" s="24"/>
      <c r="T16" s="24"/>
      <c r="U16" s="12" t="s">
        <v>10</v>
      </c>
      <c r="V16" s="12" t="s">
        <v>22</v>
      </c>
      <c r="W16" s="12" t="s">
        <v>23</v>
      </c>
      <c r="X16" s="24"/>
      <c r="Y16" s="12" t="s">
        <v>10</v>
      </c>
      <c r="Z16" s="12" t="s">
        <v>22</v>
      </c>
      <c r="AA16" s="12" t="s">
        <v>23</v>
      </c>
      <c r="AD16" s="12" t="s">
        <v>10</v>
      </c>
      <c r="AE16" s="12" t="s">
        <v>22</v>
      </c>
      <c r="AF16" s="12" t="s">
        <v>23</v>
      </c>
      <c r="AH16" s="12" t="s">
        <v>10</v>
      </c>
      <c r="AI16" s="12" t="s">
        <v>22</v>
      </c>
      <c r="AJ16" s="12" t="s">
        <v>23</v>
      </c>
    </row>
    <row r="17" spans="1:37" ht="27.75" customHeight="1">
      <c r="C17" s="30"/>
      <c r="E17" s="21"/>
      <c r="H17" s="72" t="s">
        <v>36</v>
      </c>
      <c r="I17" s="72"/>
      <c r="J17" s="72"/>
      <c r="K17" s="22">
        <v>1</v>
      </c>
      <c r="L17" s="9">
        <f>$K$17*L10</f>
        <v>447201.32491273194</v>
      </c>
      <c r="M17" s="9">
        <f>L17/2</f>
        <v>223600.66245636597</v>
      </c>
      <c r="N17" s="9">
        <f>M17-1</f>
        <v>223599.66245636597</v>
      </c>
      <c r="O17" s="46">
        <f>ROUND(L17,-0.5)-ROUND(M17,-0.5)-ROUND(N17,-0.5)</f>
        <v>0</v>
      </c>
      <c r="P17" s="9">
        <f>P10*K17</f>
        <v>178880.52996509278</v>
      </c>
      <c r="Q17" s="9">
        <f>P17/2</f>
        <v>89440.264982546389</v>
      </c>
      <c r="R17" s="9">
        <f>Q17+1</f>
        <v>89441.264982546389</v>
      </c>
      <c r="S17" s="46">
        <f>ROUND(P17,-0.5)-ROUND(Q17,-0.5)-ROUND(R17,-0.5)</f>
        <v>0</v>
      </c>
      <c r="T17" s="24"/>
      <c r="U17" s="9">
        <f>$K$17*U10</f>
        <v>3543718.9750872678</v>
      </c>
      <c r="V17" s="9">
        <f>U17/2</f>
        <v>1771859.4875436339</v>
      </c>
      <c r="W17" s="9">
        <f>V17+1</f>
        <v>1771860.4875436339</v>
      </c>
      <c r="X17" s="46">
        <f>ROUND(U17,-0.5)-ROUND(V17,-0.5)-ROUND(W17,-0.5)</f>
        <v>0</v>
      </c>
      <c r="Y17" s="9">
        <f>$K$17*Y10</f>
        <v>1417487.5900349072</v>
      </c>
      <c r="Z17" s="9">
        <f>Y17/2</f>
        <v>708743.79501745361</v>
      </c>
      <c r="AA17" s="9">
        <f>Z17</f>
        <v>708743.79501745361</v>
      </c>
      <c r="AB17" s="46">
        <f>ROUND(Y17,-0.5)-ROUND(Z17,-0.5)-ROUND(AA17,-0.5)</f>
        <v>0</v>
      </c>
      <c r="AD17" s="9">
        <f>$K$17*AD10</f>
        <v>3990920.3</v>
      </c>
      <c r="AE17" s="9">
        <f>AD17/2</f>
        <v>1995460.15</v>
      </c>
      <c r="AF17" s="9">
        <f>AE17</f>
        <v>1995460.15</v>
      </c>
      <c r="AG17" s="46">
        <f>ROUND(AD17,-0.5)-ROUND(AE17,-0.5)-ROUND(AF17,-0.5)</f>
        <v>0</v>
      </c>
      <c r="AH17" s="9">
        <f>$K$17*AH10</f>
        <v>1596368.12</v>
      </c>
      <c r="AI17" s="9">
        <f>AH17/2</f>
        <v>798184.06</v>
      </c>
      <c r="AJ17" s="9">
        <f>AH17/2</f>
        <v>798184.06</v>
      </c>
      <c r="AK17" s="46">
        <f>ROUND(AH17,-0.5)-ROUND(AI17,-0.5)-ROUND(AJ17,-0.5)</f>
        <v>0</v>
      </c>
    </row>
    <row r="18" spans="1:37" ht="52.5" customHeight="1">
      <c r="H18" s="72" t="s">
        <v>37</v>
      </c>
      <c r="I18" s="72"/>
      <c r="J18" s="72"/>
      <c r="K18" s="22">
        <v>1</v>
      </c>
      <c r="L18" s="9">
        <f>K18*L10</f>
        <v>447201.32491273194</v>
      </c>
      <c r="M18" s="9">
        <f t="shared" ref="M18:M26" si="3">L18/2</f>
        <v>223600.66245636597</v>
      </c>
      <c r="N18" s="9">
        <f t="shared" ref="N18:N26" si="4">M18-1</f>
        <v>223599.66245636597</v>
      </c>
      <c r="O18" s="46">
        <f t="shared" ref="O18:O26" si="5">ROUND(L18,-0.5)-ROUND(M18,-0.5)-ROUND(N18,-0.5)</f>
        <v>0</v>
      </c>
      <c r="P18" s="9">
        <f>P10*K18</f>
        <v>178880.52996509278</v>
      </c>
      <c r="Q18" s="9">
        <f t="shared" ref="Q18:Q26" si="6">P18/2</f>
        <v>89440.264982546389</v>
      </c>
      <c r="R18" s="9">
        <f t="shared" ref="R18:R26" si="7">Q18+1</f>
        <v>89441.264982546389</v>
      </c>
      <c r="S18" s="46">
        <f t="shared" ref="S18:S26" si="8">ROUND(P18,-0.5)-ROUND(Q18,-0.5)-ROUND(R18,-0.5)</f>
        <v>0</v>
      </c>
      <c r="T18" s="24"/>
      <c r="U18" s="9">
        <f>$K$18*U10</f>
        <v>3543718.9750872678</v>
      </c>
      <c r="V18" s="9">
        <f t="shared" ref="V18:V26" si="9">U18/2</f>
        <v>1771859.4875436339</v>
      </c>
      <c r="W18" s="9">
        <f t="shared" ref="W18:W26" si="10">V18+1</f>
        <v>1771860.4875436339</v>
      </c>
      <c r="X18" s="46">
        <f t="shared" ref="X18:X26" si="11">ROUND(U18,-0.5)-ROUND(V18,-0.5)-ROUND(W18,-0.5)</f>
        <v>0</v>
      </c>
      <c r="Y18" s="9">
        <f>$K$18*Y10</f>
        <v>1417487.5900349072</v>
      </c>
      <c r="Z18" s="9">
        <f t="shared" ref="Z18:Z26" si="12">Y18/2</f>
        <v>708743.79501745361</v>
      </c>
      <c r="AA18" s="9">
        <f t="shared" ref="AA18:AA26" si="13">Z18</f>
        <v>708743.79501745361</v>
      </c>
      <c r="AB18" s="46">
        <f t="shared" ref="AB18:AB26" si="14">ROUND(Y18,-0.5)-ROUND(Z18,-0.5)-ROUND(AA18,-0.5)</f>
        <v>0</v>
      </c>
      <c r="AD18" s="9">
        <f>$K$18*AD10</f>
        <v>3990920.3</v>
      </c>
      <c r="AE18" s="9">
        <f t="shared" ref="AE18:AE26" si="15">AD18/2</f>
        <v>1995460.15</v>
      </c>
      <c r="AF18" s="9">
        <f t="shared" ref="AF18:AF26" si="16">AE18</f>
        <v>1995460.15</v>
      </c>
      <c r="AG18" s="46">
        <f t="shared" ref="AG18:AG26" si="17">ROUND(AD18,-0.5)-ROUND(AE18,-0.5)-ROUND(AF18,-0.5)</f>
        <v>0</v>
      </c>
      <c r="AH18" s="9">
        <f>$K$18*AH10</f>
        <v>1596368.12</v>
      </c>
      <c r="AI18" s="9">
        <f t="shared" ref="AI18:AI26" si="18">AH18/2</f>
        <v>798184.06</v>
      </c>
      <c r="AJ18" s="9">
        <f t="shared" ref="AJ18:AJ26" si="19">AH18/2</f>
        <v>798184.06</v>
      </c>
      <c r="AK18" s="46">
        <f t="shared" ref="AK18:AK26" si="20">ROUND(AH18,-0.5)-ROUND(AI18,-0.5)-ROUND(AJ18,-0.5)</f>
        <v>0</v>
      </c>
    </row>
    <row r="19" spans="1:37" ht="49.5" customHeight="1">
      <c r="B19" s="16"/>
      <c r="H19" s="72" t="s">
        <v>38</v>
      </c>
      <c r="I19" s="72"/>
      <c r="J19" s="72"/>
      <c r="K19" s="22">
        <v>0.6</v>
      </c>
      <c r="L19" s="9">
        <f>$K$19*L10</f>
        <v>268320.79494763917</v>
      </c>
      <c r="M19" s="9">
        <f t="shared" si="3"/>
        <v>134160.39747381958</v>
      </c>
      <c r="N19" s="9">
        <f>M19+1</f>
        <v>134161.39747381958</v>
      </c>
      <c r="O19" s="46">
        <f t="shared" si="5"/>
        <v>0</v>
      </c>
      <c r="P19" s="9">
        <f>$K$19*P10</f>
        <v>107328.31797905566</v>
      </c>
      <c r="Q19" s="9">
        <f t="shared" si="6"/>
        <v>53664.15898952783</v>
      </c>
      <c r="R19" s="9">
        <f>Q19</f>
        <v>53664.15898952783</v>
      </c>
      <c r="S19" s="46">
        <f t="shared" si="8"/>
        <v>0</v>
      </c>
      <c r="T19" s="24"/>
      <c r="U19" s="9">
        <f>$K$19*U10</f>
        <v>2126231.3850523606</v>
      </c>
      <c r="V19" s="9">
        <f t="shared" si="9"/>
        <v>1063115.6925261803</v>
      </c>
      <c r="W19" s="9">
        <f>V19-1</f>
        <v>1063114.6925261803</v>
      </c>
      <c r="X19" s="46">
        <f>ROUND(U19,-0.5)-ROUND(V19,-0.5)-ROUND(W19,-0.5)</f>
        <v>0</v>
      </c>
      <c r="Y19" s="9">
        <f>$K$19*Y10</f>
        <v>850492.55402094428</v>
      </c>
      <c r="Z19" s="9">
        <f t="shared" si="12"/>
        <v>425246.27701047214</v>
      </c>
      <c r="AA19" s="9">
        <f>Z19+1</f>
        <v>425247.27701047214</v>
      </c>
      <c r="AB19" s="46">
        <f t="shared" si="14"/>
        <v>0</v>
      </c>
      <c r="AD19" s="9">
        <f>$K$19*AD10</f>
        <v>2394552.1799999997</v>
      </c>
      <c r="AE19" s="9">
        <f t="shared" si="15"/>
        <v>1197276.0899999999</v>
      </c>
      <c r="AF19" s="9">
        <f t="shared" si="16"/>
        <v>1197276.0899999999</v>
      </c>
      <c r="AG19" s="46">
        <f t="shared" si="17"/>
        <v>0</v>
      </c>
      <c r="AH19" s="9">
        <f>$K$19*AH10</f>
        <v>957820.87199999997</v>
      </c>
      <c r="AI19" s="9">
        <f t="shared" si="18"/>
        <v>478910.43599999999</v>
      </c>
      <c r="AJ19" s="9">
        <f>AH19/2+1</f>
        <v>478911.43599999999</v>
      </c>
      <c r="AK19" s="46">
        <f t="shared" si="20"/>
        <v>0</v>
      </c>
    </row>
    <row r="20" spans="1:37" ht="36.75" customHeight="1">
      <c r="A20" s="17"/>
      <c r="B20" s="16"/>
      <c r="H20" s="72" t="s">
        <v>39</v>
      </c>
      <c r="I20" s="72"/>
      <c r="J20" s="72"/>
      <c r="K20" s="22">
        <v>1</v>
      </c>
      <c r="L20" s="9">
        <f>$K$20*L10</f>
        <v>447201.32491273194</v>
      </c>
      <c r="M20" s="9">
        <f t="shared" si="3"/>
        <v>223600.66245636597</v>
      </c>
      <c r="N20" s="9">
        <f t="shared" si="4"/>
        <v>223599.66245636597</v>
      </c>
      <c r="O20" s="46">
        <f t="shared" si="5"/>
        <v>0</v>
      </c>
      <c r="P20" s="9">
        <f>$K$20*P10</f>
        <v>178880.52996509278</v>
      </c>
      <c r="Q20" s="9">
        <f t="shared" si="6"/>
        <v>89440.264982546389</v>
      </c>
      <c r="R20" s="9">
        <f t="shared" si="7"/>
        <v>89441.264982546389</v>
      </c>
      <c r="S20" s="46">
        <f t="shared" si="8"/>
        <v>0</v>
      </c>
      <c r="U20" s="9">
        <f>$K$20*U10</f>
        <v>3543718.9750872678</v>
      </c>
      <c r="V20" s="9">
        <f t="shared" si="9"/>
        <v>1771859.4875436339</v>
      </c>
      <c r="W20" s="9">
        <f t="shared" si="10"/>
        <v>1771860.4875436339</v>
      </c>
      <c r="X20" s="46">
        <f t="shared" si="11"/>
        <v>0</v>
      </c>
      <c r="Y20" s="9">
        <f>$K$20*Y10</f>
        <v>1417487.5900349072</v>
      </c>
      <c r="Z20" s="9">
        <f t="shared" si="12"/>
        <v>708743.79501745361</v>
      </c>
      <c r="AA20" s="9">
        <f t="shared" si="13"/>
        <v>708743.79501745361</v>
      </c>
      <c r="AB20" s="46">
        <f t="shared" si="14"/>
        <v>0</v>
      </c>
      <c r="AD20" s="9">
        <f>$K$20*AD10</f>
        <v>3990920.3</v>
      </c>
      <c r="AE20" s="9">
        <f t="shared" si="15"/>
        <v>1995460.15</v>
      </c>
      <c r="AF20" s="9">
        <f t="shared" si="16"/>
        <v>1995460.15</v>
      </c>
      <c r="AG20" s="46">
        <f t="shared" si="17"/>
        <v>0</v>
      </c>
      <c r="AH20" s="9">
        <f>$K$20*AH10</f>
        <v>1596368.12</v>
      </c>
      <c r="AI20" s="9">
        <f t="shared" si="18"/>
        <v>798184.06</v>
      </c>
      <c r="AJ20" s="9">
        <f t="shared" si="19"/>
        <v>798184.06</v>
      </c>
      <c r="AK20" s="46">
        <f t="shared" si="20"/>
        <v>0</v>
      </c>
    </row>
    <row r="21" spans="1:37" ht="55.5" customHeight="1">
      <c r="A21" s="17"/>
      <c r="B21" s="16"/>
      <c r="H21" s="72" t="s">
        <v>40</v>
      </c>
      <c r="I21" s="72"/>
      <c r="J21" s="72"/>
      <c r="K21" s="22">
        <v>0.6</v>
      </c>
      <c r="L21" s="9">
        <f>$K$21*L10</f>
        <v>268320.79494763917</v>
      </c>
      <c r="M21" s="9">
        <f t="shared" si="3"/>
        <v>134160.39747381958</v>
      </c>
      <c r="N21" s="9">
        <f>M21+1</f>
        <v>134161.39747381958</v>
      </c>
      <c r="O21" s="46">
        <f t="shared" si="5"/>
        <v>0</v>
      </c>
      <c r="P21" s="9">
        <f>$K$21*P10</f>
        <v>107328.31797905566</v>
      </c>
      <c r="Q21" s="9">
        <f t="shared" si="6"/>
        <v>53664.15898952783</v>
      </c>
      <c r="R21" s="9">
        <f>Q21</f>
        <v>53664.15898952783</v>
      </c>
      <c r="S21" s="46">
        <f t="shared" si="8"/>
        <v>0</v>
      </c>
      <c r="T21" s="24"/>
      <c r="U21" s="9">
        <f>$K$21*U10</f>
        <v>2126231.3850523606</v>
      </c>
      <c r="V21" s="9">
        <f t="shared" si="9"/>
        <v>1063115.6925261803</v>
      </c>
      <c r="W21" s="9">
        <f>V21-1</f>
        <v>1063114.6925261803</v>
      </c>
      <c r="X21" s="46">
        <f t="shared" si="11"/>
        <v>0</v>
      </c>
      <c r="Y21" s="9">
        <f>$K$21*Y10</f>
        <v>850492.55402094428</v>
      </c>
      <c r="Z21" s="9">
        <f t="shared" si="12"/>
        <v>425246.27701047214</v>
      </c>
      <c r="AA21" s="9">
        <f>Z21+1</f>
        <v>425247.27701047214</v>
      </c>
      <c r="AB21" s="46">
        <f t="shared" si="14"/>
        <v>0</v>
      </c>
      <c r="AD21" s="9">
        <f>$K$21*AD10</f>
        <v>2394552.1799999997</v>
      </c>
      <c r="AE21" s="9">
        <f t="shared" si="15"/>
        <v>1197276.0899999999</v>
      </c>
      <c r="AF21" s="9">
        <f t="shared" si="16"/>
        <v>1197276.0899999999</v>
      </c>
      <c r="AG21" s="46">
        <f t="shared" si="17"/>
        <v>0</v>
      </c>
      <c r="AH21" s="9">
        <f>$K$21*AH10</f>
        <v>957820.87199999997</v>
      </c>
      <c r="AI21" s="9">
        <f t="shared" si="18"/>
        <v>478910.43599999999</v>
      </c>
      <c r="AJ21" s="9">
        <f>AH21/2+1</f>
        <v>478911.43599999999</v>
      </c>
      <c r="AK21" s="46">
        <f t="shared" si="20"/>
        <v>0</v>
      </c>
    </row>
    <row r="22" spans="1:37" ht="30" customHeight="1">
      <c r="A22" s="17"/>
      <c r="B22" s="16"/>
      <c r="H22" s="73" t="s">
        <v>41</v>
      </c>
      <c r="I22" s="74"/>
      <c r="J22" s="75"/>
      <c r="K22" s="23">
        <v>0.4</v>
      </c>
      <c r="L22" s="9">
        <f>$K$22*L10</f>
        <v>178880.52996509278</v>
      </c>
      <c r="M22" s="9">
        <f t="shared" si="3"/>
        <v>89440.264982546389</v>
      </c>
      <c r="N22" s="9">
        <f>M22+1</f>
        <v>89441.264982546389</v>
      </c>
      <c r="O22" s="46">
        <f t="shared" si="5"/>
        <v>0</v>
      </c>
      <c r="P22" s="9">
        <f>$K$22*P10</f>
        <v>71552.211986037117</v>
      </c>
      <c r="Q22" s="9">
        <f t="shared" si="6"/>
        <v>35776.105993018558</v>
      </c>
      <c r="R22" s="9">
        <f>Q22</f>
        <v>35776.105993018558</v>
      </c>
      <c r="S22" s="46">
        <f t="shared" si="8"/>
        <v>0</v>
      </c>
      <c r="U22" s="9">
        <f>$K$22*U10</f>
        <v>1417487.5900349072</v>
      </c>
      <c r="V22" s="9">
        <f t="shared" si="9"/>
        <v>708743.79501745361</v>
      </c>
      <c r="W22" s="9">
        <f>V22</f>
        <v>708743.79501745361</v>
      </c>
      <c r="X22" s="46">
        <f t="shared" si="11"/>
        <v>0</v>
      </c>
      <c r="Y22" s="9">
        <f>$K$22*Y10</f>
        <v>566995.03601396293</v>
      </c>
      <c r="Z22" s="9">
        <f>Y22/2</f>
        <v>283497.51800698147</v>
      </c>
      <c r="AA22" s="9">
        <f>Z22-1</f>
        <v>283496.51800698147</v>
      </c>
      <c r="AB22" s="46">
        <f>ROUND(Y22,-0.5)-ROUND(Z22,-0.5)-ROUND(AA22,-0.5)</f>
        <v>0</v>
      </c>
      <c r="AD22" s="9">
        <f>$K$22*AD10</f>
        <v>1596368.12</v>
      </c>
      <c r="AE22" s="9">
        <f t="shared" si="15"/>
        <v>798184.06</v>
      </c>
      <c r="AF22" s="9">
        <f t="shared" si="16"/>
        <v>798184.06</v>
      </c>
      <c r="AG22" s="46">
        <f t="shared" si="17"/>
        <v>0</v>
      </c>
      <c r="AH22" s="9">
        <f>$K$22*AH10</f>
        <v>638547.24800000014</v>
      </c>
      <c r="AI22" s="9">
        <f t="shared" si="18"/>
        <v>319273.62400000007</v>
      </c>
      <c r="AJ22" s="9">
        <f>AH22/2-1</f>
        <v>319272.62400000007</v>
      </c>
      <c r="AK22" s="46">
        <f t="shared" si="20"/>
        <v>0</v>
      </c>
    </row>
    <row r="23" spans="1:37" ht="24.95" customHeight="1">
      <c r="A23" s="17"/>
      <c r="B23" s="16"/>
      <c r="H23" s="48" t="s">
        <v>42</v>
      </c>
      <c r="I23" s="49"/>
      <c r="J23" s="50"/>
      <c r="K23" s="22">
        <v>0.6</v>
      </c>
      <c r="L23" s="9">
        <f>$K$23*L10</f>
        <v>268320.79494763917</v>
      </c>
      <c r="M23" s="9">
        <f t="shared" si="3"/>
        <v>134160.39747381958</v>
      </c>
      <c r="N23" s="9">
        <f>M23+1</f>
        <v>134161.39747381958</v>
      </c>
      <c r="O23" s="46">
        <f t="shared" si="5"/>
        <v>0</v>
      </c>
      <c r="P23" s="9">
        <f>$K$23*P10</f>
        <v>107328.31797905566</v>
      </c>
      <c r="Q23" s="9">
        <f t="shared" si="6"/>
        <v>53664.15898952783</v>
      </c>
      <c r="R23" s="9">
        <f>Q23</f>
        <v>53664.15898952783</v>
      </c>
      <c r="S23" s="46">
        <f t="shared" si="8"/>
        <v>0</v>
      </c>
      <c r="T23" s="24"/>
      <c r="U23" s="9">
        <f>$K$23*U10</f>
        <v>2126231.3850523606</v>
      </c>
      <c r="V23" s="9">
        <f t="shared" si="9"/>
        <v>1063115.6925261803</v>
      </c>
      <c r="W23" s="9">
        <f>V23-1</f>
        <v>1063114.6925261803</v>
      </c>
      <c r="X23" s="46">
        <f t="shared" si="11"/>
        <v>0</v>
      </c>
      <c r="Y23" s="9">
        <f>$K$23*Y10</f>
        <v>850492.55402094428</v>
      </c>
      <c r="Z23" s="9">
        <f t="shared" si="12"/>
        <v>425246.27701047214</v>
      </c>
      <c r="AA23" s="9">
        <f>Z23+1</f>
        <v>425247.27701047214</v>
      </c>
      <c r="AB23" s="46">
        <f t="shared" si="14"/>
        <v>0</v>
      </c>
      <c r="AD23" s="9">
        <f>$K$23*AD10</f>
        <v>2394552.1799999997</v>
      </c>
      <c r="AE23" s="9">
        <f t="shared" si="15"/>
        <v>1197276.0899999999</v>
      </c>
      <c r="AF23" s="9">
        <f t="shared" si="16"/>
        <v>1197276.0899999999</v>
      </c>
      <c r="AG23" s="46">
        <f t="shared" si="17"/>
        <v>0</v>
      </c>
      <c r="AH23" s="9">
        <f>$K$23*AH10</f>
        <v>957820.87199999997</v>
      </c>
      <c r="AI23" s="9">
        <f t="shared" si="18"/>
        <v>478910.43599999999</v>
      </c>
      <c r="AJ23" s="9">
        <f>AH23/2+1</f>
        <v>478911.43599999999</v>
      </c>
      <c r="AK23" s="46">
        <f t="shared" si="20"/>
        <v>0</v>
      </c>
    </row>
    <row r="24" spans="1:37" ht="24.95" customHeight="1">
      <c r="A24" s="17"/>
      <c r="B24" s="16"/>
      <c r="H24" s="48" t="s">
        <v>43</v>
      </c>
      <c r="I24" s="49"/>
      <c r="J24" s="50"/>
      <c r="K24" s="22">
        <v>0.6</v>
      </c>
      <c r="L24" s="9">
        <f>$K$24*L10</f>
        <v>268320.79494763917</v>
      </c>
      <c r="M24" s="9">
        <f t="shared" ref="M24" si="21">L24/2</f>
        <v>134160.39747381958</v>
      </c>
      <c r="N24" s="9">
        <f>M24+1</f>
        <v>134161.39747381958</v>
      </c>
      <c r="O24" s="46">
        <f t="shared" ref="O24" si="22">ROUND(L24,-0.5)-ROUND(M24,-0.5)-ROUND(N24,-0.5)</f>
        <v>0</v>
      </c>
      <c r="P24" s="9">
        <f>$K$24*P10</f>
        <v>107328.31797905566</v>
      </c>
      <c r="Q24" s="9">
        <f t="shared" ref="Q24" si="23">P24/2</f>
        <v>53664.15898952783</v>
      </c>
      <c r="R24" s="9">
        <f>Q24</f>
        <v>53664.15898952783</v>
      </c>
      <c r="S24" s="46">
        <f t="shared" ref="S24" si="24">ROUND(P24,-0.5)-ROUND(Q24,-0.5)-ROUND(R24,-0.5)</f>
        <v>0</v>
      </c>
      <c r="T24" s="24"/>
      <c r="U24" s="9">
        <f>$K$24*U10</f>
        <v>2126231.3850523606</v>
      </c>
      <c r="V24" s="9">
        <f t="shared" ref="V24" si="25">U24/2</f>
        <v>1063115.6925261803</v>
      </c>
      <c r="W24" s="9">
        <f>V24-1</f>
        <v>1063114.6925261803</v>
      </c>
      <c r="X24" s="46">
        <f t="shared" ref="X24" si="26">ROUND(U24,-0.5)-ROUND(V24,-0.5)-ROUND(W24,-0.5)</f>
        <v>0</v>
      </c>
      <c r="Y24" s="9">
        <f>$K$24*Y10</f>
        <v>850492.55402094428</v>
      </c>
      <c r="Z24" s="9">
        <f t="shared" ref="Z24" si="27">Y24/2</f>
        <v>425246.27701047214</v>
      </c>
      <c r="AA24" s="9">
        <f>Z24+1</f>
        <v>425247.27701047214</v>
      </c>
      <c r="AB24" s="46">
        <f t="shared" ref="AB24" si="28">ROUND(Y24,-0.5)-ROUND(Z24,-0.5)-ROUND(AA24,-0.5)</f>
        <v>0</v>
      </c>
      <c r="AD24" s="9">
        <f>$K$24*AD10</f>
        <v>2394552.1799999997</v>
      </c>
      <c r="AE24" s="9">
        <f t="shared" ref="AE24" si="29">AD24/2</f>
        <v>1197276.0899999999</v>
      </c>
      <c r="AF24" s="9">
        <f t="shared" ref="AF24" si="30">AE24</f>
        <v>1197276.0899999999</v>
      </c>
      <c r="AG24" s="46">
        <f t="shared" ref="AG24" si="31">ROUND(AD24,-0.5)-ROUND(AE24,-0.5)-ROUND(AF24,-0.5)</f>
        <v>0</v>
      </c>
      <c r="AH24" s="9">
        <f>$K$24*AH10</f>
        <v>957820.87199999997</v>
      </c>
      <c r="AI24" s="9">
        <f t="shared" ref="AI24" si="32">AH24/2</f>
        <v>478910.43599999999</v>
      </c>
      <c r="AJ24" s="9">
        <f>AH24/2+1</f>
        <v>478911.43599999999</v>
      </c>
      <c r="AK24" s="46">
        <f t="shared" ref="AK24" si="33">ROUND(AH24,-0.5)-ROUND(AI24,-0.5)-ROUND(AJ24,-0.5)</f>
        <v>0</v>
      </c>
    </row>
    <row r="25" spans="1:37" ht="51.75" customHeight="1">
      <c r="H25" s="72" t="s">
        <v>44</v>
      </c>
      <c r="I25" s="72"/>
      <c r="J25" s="72"/>
      <c r="K25" s="23">
        <v>0.4</v>
      </c>
      <c r="L25" s="9">
        <f>$K$25*L10</f>
        <v>178880.52996509278</v>
      </c>
      <c r="M25" s="9">
        <f t="shared" si="3"/>
        <v>89440.264982546389</v>
      </c>
      <c r="N25" s="9">
        <f>M25+1</f>
        <v>89441.264982546389</v>
      </c>
      <c r="O25" s="46">
        <f t="shared" si="5"/>
        <v>0</v>
      </c>
      <c r="P25" s="9">
        <f>$K$25*P10</f>
        <v>71552.211986037117</v>
      </c>
      <c r="Q25" s="9">
        <f t="shared" si="6"/>
        <v>35776.105993018558</v>
      </c>
      <c r="R25" s="9">
        <f>Q25</f>
        <v>35776.105993018558</v>
      </c>
      <c r="S25" s="46">
        <f t="shared" si="8"/>
        <v>0</v>
      </c>
      <c r="T25" s="24"/>
      <c r="U25" s="9">
        <f>$K$25*U10</f>
        <v>1417487.5900349072</v>
      </c>
      <c r="V25" s="9">
        <f t="shared" si="9"/>
        <v>708743.79501745361</v>
      </c>
      <c r="W25" s="9">
        <f>V25</f>
        <v>708743.79501745361</v>
      </c>
      <c r="X25" s="46">
        <f t="shared" si="11"/>
        <v>0</v>
      </c>
      <c r="Y25" s="9">
        <f>K23*Y10</f>
        <v>850492.55402094428</v>
      </c>
      <c r="Z25" s="9">
        <f t="shared" si="12"/>
        <v>425246.27701047214</v>
      </c>
      <c r="AA25" s="9">
        <f>Z25+1</f>
        <v>425247.27701047214</v>
      </c>
      <c r="AB25" s="46">
        <f t="shared" si="14"/>
        <v>0</v>
      </c>
      <c r="AD25" s="9">
        <f>$K$25*AD10</f>
        <v>1596368.12</v>
      </c>
      <c r="AE25" s="9">
        <f t="shared" si="15"/>
        <v>798184.06</v>
      </c>
      <c r="AF25" s="9">
        <f t="shared" si="16"/>
        <v>798184.06</v>
      </c>
      <c r="AG25" s="46">
        <f t="shared" si="17"/>
        <v>0</v>
      </c>
      <c r="AH25" s="9">
        <f>$K$25*AH10</f>
        <v>638547.24800000014</v>
      </c>
      <c r="AI25" s="9">
        <f t="shared" si="18"/>
        <v>319273.62400000007</v>
      </c>
      <c r="AJ25" s="9">
        <f>AH25/2-1</f>
        <v>319272.62400000007</v>
      </c>
      <c r="AK25" s="46">
        <f t="shared" si="20"/>
        <v>0</v>
      </c>
    </row>
    <row r="26" spans="1:37" ht="61.5" customHeight="1">
      <c r="H26" s="72" t="s">
        <v>45</v>
      </c>
      <c r="I26" s="72"/>
      <c r="J26" s="72"/>
      <c r="K26" s="22">
        <v>1</v>
      </c>
      <c r="L26" s="9">
        <f>$K$26*L10</f>
        <v>447201.32491273194</v>
      </c>
      <c r="M26" s="9">
        <f t="shared" si="3"/>
        <v>223600.66245636597</v>
      </c>
      <c r="N26" s="9">
        <f t="shared" si="4"/>
        <v>223599.66245636597</v>
      </c>
      <c r="O26" s="46">
        <f t="shared" si="5"/>
        <v>0</v>
      </c>
      <c r="P26" s="9">
        <f>$K$26*P10</f>
        <v>178880.52996509278</v>
      </c>
      <c r="Q26" s="9">
        <f t="shared" si="6"/>
        <v>89440.264982546389</v>
      </c>
      <c r="R26" s="9">
        <f t="shared" si="7"/>
        <v>89441.264982546389</v>
      </c>
      <c r="S26" s="46">
        <f t="shared" si="8"/>
        <v>0</v>
      </c>
      <c r="T26" s="24"/>
      <c r="U26" s="9">
        <f>$K$26*U10</f>
        <v>3543718.9750872678</v>
      </c>
      <c r="V26" s="9">
        <f t="shared" si="9"/>
        <v>1771859.4875436339</v>
      </c>
      <c r="W26" s="9">
        <f t="shared" si="10"/>
        <v>1771860.4875436339</v>
      </c>
      <c r="X26" s="46">
        <f t="shared" si="11"/>
        <v>0</v>
      </c>
      <c r="Y26" s="9">
        <f>K26*Y10</f>
        <v>1417487.5900349072</v>
      </c>
      <c r="Z26" s="9">
        <f t="shared" si="12"/>
        <v>708743.79501745361</v>
      </c>
      <c r="AA26" s="9">
        <f t="shared" si="13"/>
        <v>708743.79501745361</v>
      </c>
      <c r="AB26" s="46">
        <f t="shared" si="14"/>
        <v>0</v>
      </c>
      <c r="AD26" s="9">
        <f>$K$26*AD10</f>
        <v>3990920.3</v>
      </c>
      <c r="AE26" s="9">
        <f t="shared" si="15"/>
        <v>1995460.15</v>
      </c>
      <c r="AF26" s="9">
        <f t="shared" si="16"/>
        <v>1995460.15</v>
      </c>
      <c r="AG26" s="46">
        <f t="shared" si="17"/>
        <v>0</v>
      </c>
      <c r="AH26" s="9">
        <f>$K$26*AH10</f>
        <v>1596368.12</v>
      </c>
      <c r="AI26" s="9">
        <f t="shared" si="18"/>
        <v>798184.06</v>
      </c>
      <c r="AJ26" s="9">
        <f t="shared" si="19"/>
        <v>798184.06</v>
      </c>
      <c r="AK26" s="46">
        <f t="shared" si="20"/>
        <v>0</v>
      </c>
    </row>
    <row r="27" spans="1:37">
      <c r="O27" s="24"/>
      <c r="S27" s="24"/>
      <c r="T27" s="24"/>
    </row>
    <row r="28" spans="1:37">
      <c r="L28" s="24"/>
      <c r="M28" s="24"/>
      <c r="N28" s="24"/>
      <c r="O28" s="24"/>
      <c r="P28" s="24"/>
      <c r="Q28" s="24"/>
      <c r="R28" s="24"/>
      <c r="S28" s="24"/>
      <c r="T28" s="24"/>
      <c r="U28" s="24"/>
      <c r="V28" s="24"/>
      <c r="W28" s="24"/>
      <c r="X28" s="24"/>
      <c r="Y28" s="24"/>
      <c r="Z28" s="24"/>
      <c r="AA28" s="24"/>
      <c r="AB28" s="24"/>
    </row>
    <row r="29" spans="1:37">
      <c r="L29" s="24"/>
      <c r="M29" s="24"/>
      <c r="N29" s="24"/>
      <c r="O29" s="24"/>
      <c r="T29" s="24"/>
    </row>
    <row r="30" spans="1:37">
      <c r="O30" s="24"/>
      <c r="T30" s="24"/>
    </row>
    <row r="31" spans="1:37">
      <c r="O31" s="24"/>
      <c r="T31" s="24"/>
    </row>
    <row r="32" spans="1:37">
      <c r="T32" s="24"/>
    </row>
    <row r="33" spans="20:20">
      <c r="T33" s="24"/>
    </row>
  </sheetData>
  <mergeCells count="30">
    <mergeCell ref="AD6:AG8"/>
    <mergeCell ref="AH6:AK8"/>
    <mergeCell ref="U6:X8"/>
    <mergeCell ref="Y6:AB8"/>
    <mergeCell ref="H26:J26"/>
    <mergeCell ref="H21:J21"/>
    <mergeCell ref="H23:J23"/>
    <mergeCell ref="H18:J18"/>
    <mergeCell ref="H19:J19"/>
    <mergeCell ref="H20:J20"/>
    <mergeCell ref="H25:J25"/>
    <mergeCell ref="H22:J22"/>
    <mergeCell ref="H15:J15"/>
    <mergeCell ref="H16:J16"/>
    <mergeCell ref="H17:J17"/>
    <mergeCell ref="B13:H13"/>
    <mergeCell ref="AH15:AJ15"/>
    <mergeCell ref="L15:N15"/>
    <mergeCell ref="P15:R15"/>
    <mergeCell ref="U15:W15"/>
    <mergeCell ref="Y15:AA15"/>
    <mergeCell ref="AD15:AF15"/>
    <mergeCell ref="H24:J24"/>
    <mergeCell ref="P6:S8"/>
    <mergeCell ref="L6:O8"/>
    <mergeCell ref="A1:J1"/>
    <mergeCell ref="B12:H12"/>
    <mergeCell ref="A3:A4"/>
    <mergeCell ref="B3:D3"/>
    <mergeCell ref="B14:F14"/>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A10" sqref="A10"/>
    </sheetView>
  </sheetViews>
  <sheetFormatPr defaultColWidth="9.140625" defaultRowHeight="14.45"/>
  <cols>
    <col min="1" max="1" width="123.85546875" customWidth="1"/>
  </cols>
  <sheetData>
    <row r="1" spans="1:1">
      <c r="A1" s="31" t="s">
        <v>46</v>
      </c>
    </row>
    <row r="2" spans="1:1" ht="87">
      <c r="A2" s="32" t="s">
        <v>47</v>
      </c>
    </row>
    <row r="3" spans="1:1" ht="57.95">
      <c r="A3" s="6" t="s">
        <v>48</v>
      </c>
    </row>
    <row r="4" spans="1:1">
      <c r="A4" s="33" t="s">
        <v>49</v>
      </c>
    </row>
    <row r="5" spans="1:1" ht="57.95">
      <c r="A5" s="6" t="s">
        <v>50</v>
      </c>
    </row>
    <row r="6" spans="1:1">
      <c r="A6" s="33" t="s">
        <v>51</v>
      </c>
    </row>
    <row r="7" spans="1:1" ht="43.5">
      <c r="A7" s="6" t="s">
        <v>52</v>
      </c>
    </row>
    <row r="8" spans="1:1">
      <c r="A8" s="33" t="s">
        <v>53</v>
      </c>
    </row>
    <row r="9" spans="1:1">
      <c r="A9" t="s">
        <v>54</v>
      </c>
    </row>
    <row r="10" spans="1:1">
      <c r="A10" s="33" t="s">
        <v>55</v>
      </c>
    </row>
    <row r="11" spans="1:1" ht="188.45">
      <c r="A11" s="6" t="s">
        <v>56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SharedWithUsers xmlns="a3cd7b71-671d-4139-9a97-5d1a7380fae4">
      <UserInfo>
        <DisplayName/>
        <AccountId xsi:nil="true"/>
        <AccountType/>
      </UserInfo>
    </SharedWithUsers>
    <MediaLengthInSeconds xmlns="366ae72f-6d51-4737-8f6b-a9169c366b6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800A0A-3BBF-40DB-AF59-0A3DE55AA1D3}"/>
</file>

<file path=customXml/itemProps2.xml><?xml version="1.0" encoding="utf-8"?>
<ds:datastoreItem xmlns:ds="http://schemas.openxmlformats.org/officeDocument/2006/customXml" ds:itemID="{21F83629-FD9D-4263-8CE7-C6AC5D21E25C}"/>
</file>

<file path=customXml/itemProps3.xml><?xml version="1.0" encoding="utf-8"?>
<ds:datastoreItem xmlns:ds="http://schemas.openxmlformats.org/officeDocument/2006/customXml" ds:itemID="{10AC45B3-1551-4D1E-99B6-C3F09AFC28C4}"/>
</file>

<file path=docProps/app.xml><?xml version="1.0" encoding="utf-8"?>
<Properties xmlns="http://schemas.openxmlformats.org/officeDocument/2006/extended-properties" xmlns:vt="http://schemas.openxmlformats.org/officeDocument/2006/docPropsVTypes">
  <Application>Microsoft Excel Online</Application>
  <Manager/>
  <Company>IFAD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Rahaga, Ndriana</dc:creator>
  <cp:keywords/>
  <dc:description/>
  <cp:lastModifiedBy>Chris Dickinson</cp:lastModifiedBy>
  <cp:revision/>
  <dcterms:created xsi:type="dcterms:W3CDTF">2023-02-07T12:36:41Z</dcterms:created>
  <dcterms:modified xsi:type="dcterms:W3CDTF">2024-01-11T06:37:03Z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y fmtid="{D5CDD505-2E9C-101B-9397-08002B2CF9AE}" pid="4" name="Etag">
    <vt:lpwstr>0x8DBFD584896AA85</vt:lpwstr>
  </property>
  <property fmtid="{D5CDD505-2E9C-101B-9397-08002B2CF9AE}" pid="5" name="Order">
    <vt:r8>76070600</vt:r8>
  </property>
  <property fmtid="{D5CDD505-2E9C-101B-9397-08002B2CF9AE}" pid="6" name="SWCPowerTaggingTag">
    <vt:lpwstr>{"Extraction":2,"Tags":[],"Msg":"PowerTagging ListItem Error: The request was canceled due to the configured HttpClient.Timeout of 100 seconds elapsing."}</vt:lpwstr>
  </property>
  <property fmtid="{D5CDD505-2E9C-101B-9397-08002B2CF9AE}" pid="7" name="blobFile">
    <vt:lpwstr>e7288bbc-a261-48c9-9de3-31c7de13c670/700e976a-bae0-4b2b-afab-57e9d330fdaa.xlsx</vt:lpwstr>
  </property>
  <property fmtid="{D5CDD505-2E9C-101B-9397-08002B2CF9AE}" pid="8" name="xd_Signature">
    <vt:bool>false</vt:bool>
  </property>
  <property fmtid="{D5CDD505-2E9C-101B-9397-08002B2CF9AE}" pid="9" name="xd_ProgID">
    <vt:lpwstr/>
  </property>
  <property fmtid="{D5CDD505-2E9C-101B-9397-08002B2CF9AE}" pid="10" name="_SourceUrl">
    <vt:lpwstr/>
  </property>
  <property fmtid="{D5CDD505-2E9C-101B-9397-08002B2CF9AE}" pid="11" name="_SharedFileIndex">
    <vt:lpwstr/>
  </property>
  <property fmtid="{D5CDD505-2E9C-101B-9397-08002B2CF9AE}" pid="12" name="TemplateUrl">
    <vt:lpwstr/>
  </property>
  <property fmtid="{D5CDD505-2E9C-101B-9397-08002B2CF9AE}" pid="13" name="ComplianceAssetId">
    <vt:lpwstr/>
  </property>
  <property fmtid="{D5CDD505-2E9C-101B-9397-08002B2CF9AE}" pid="14" name="DocumentType">
    <vt:lpwstr>Appraisal</vt:lpwstr>
  </property>
  <property fmtid="{D5CDD505-2E9C-101B-9397-08002B2CF9AE}" pid="15" name="_ExtendedDescription">
    <vt:lpwstr/>
  </property>
  <property fmtid="{D5CDD505-2E9C-101B-9397-08002B2CF9AE}" pid="16" name="TriggerFlowInfo">
    <vt:lpwstr/>
  </property>
</Properties>
</file>