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1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135" windowWidth="20055" windowHeight="7440" tabRatio="910" activeTab="3"/>
  </bookViews>
  <sheets>
    <sheet name="Conversion factors" sheetId="30" r:id="rId1"/>
    <sheet name="CFs used" sheetId="31" r:id="rId2"/>
    <sheet name="Calculations" sheetId="29" r:id="rId3"/>
    <sheet name="Benefits Fin. and Econ Roads" sheetId="9" r:id="rId4"/>
    <sheet name="Summary of Indicators" sheetId="32" r:id="rId5"/>
    <sheet name="Detailed Budget Notes " sheetId="36" r:id="rId6"/>
    <sheet name="Detailed Budget" sheetId="35"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A" localSheetId="6">'[1]Detailed Budget Plan'!#REF!</definedName>
    <definedName name="A" localSheetId="5">'[1]Detailed Budget Plan'!#REF!</definedName>
    <definedName name="A">'[1]Detailed Budget Plan'!#REF!</definedName>
    <definedName name="appleseedling">'[2]WP-2-Ap 1-Prices'!$F$28</definedName>
    <definedName name="bag">'[2]WP-2-Ap 1-Prices'!$F$62</definedName>
    <definedName name="banq">#N/A</definedName>
    <definedName name="banq_an1">#N/A</definedName>
    <definedName name="calf" localSheetId="6">'[3]APP1 Financial  Prices'!$D$17</definedName>
    <definedName name="calf" localSheetId="5">'[3]APP1 Financial  Prices'!$D$17</definedName>
    <definedName name="calf" localSheetId="4">'[3]APP1 Financial  Prices'!$D$17</definedName>
    <definedName name="calf">'[14]APP1 Financial  Prices'!$D$17</definedName>
    <definedName name="Categories">OFFSET('[1]Title Lists'!$F$2,0,0,COUNTA('[1]Title Lists'!$F:$F)-1,1)</definedName>
    <definedName name="CF" localSheetId="6">'[3]APP1 Financial  Prices'!$C$8</definedName>
    <definedName name="CF" localSheetId="5">'[3]APP1 Financial  Prices'!$C$8</definedName>
    <definedName name="CF" localSheetId="4">'[3]APP1 Financial  Prices'!$C$8</definedName>
    <definedName name="CF">'[14]APP1 Financial  Prices'!$C$8</definedName>
    <definedName name="change_bene" localSheetId="6">'[4]Economic Benefits Aggreation'!$C$38</definedName>
    <definedName name="change_bene" localSheetId="5">'[4]Economic Benefits Aggreation'!$C$38</definedName>
    <definedName name="change_bene" localSheetId="4">'[4]Economic Benefits Aggreation'!$C$38</definedName>
    <definedName name="change_bene">'[15]Economic Benefits Aggreation'!$C$38</definedName>
    <definedName name="change_project_cost" localSheetId="6">'[4]Economic Benefits Aggreation'!$C$39</definedName>
    <definedName name="change_project_cost" localSheetId="5">'[4]Economic Benefits Aggreation'!$C$39</definedName>
    <definedName name="change_project_cost" localSheetId="4">'[4]Economic Benefits Aggreation'!$C$39</definedName>
    <definedName name="change_project_cost">'[15]Economic Benefits Aggreation'!$C$39</definedName>
    <definedName name="Components">OFFSET('[1]Title Lists'!$B$2,0,0,COUNTA('[1]Title Lists'!$B:$B)-1,1)</definedName>
    <definedName name="cow" localSheetId="6">'[3]APP1 Financial  Prices'!$D$16</definedName>
    <definedName name="cow" localSheetId="5">'[3]APP1 Financial  Prices'!$D$16</definedName>
    <definedName name="cow" localSheetId="4">'[3]APP1 Financial  Prices'!$D$16</definedName>
    <definedName name="cow">'[14]APP1 Financial  Prices'!$D$16</definedName>
    <definedName name="Cult">'[2]WP-2-Ap 1-Prices'!$F$25</definedName>
    <definedName name="digging">'[2]WP-2-Ap 1-Prices'!$F$26</definedName>
    <definedName name="douar_an1">#N/A</definedName>
    <definedName name="douar_an2">#N/A</definedName>
    <definedName name="douar_an3">#N/A</definedName>
    <definedName name="douar_an4">#N/A</definedName>
    <definedName name="douar_an5">#N/A</definedName>
    <definedName name="douar_an6">#N/A</definedName>
    <definedName name="EA">'[5]1 excDT'!$AM$187:$AM$196</definedName>
    <definedName name="End_Bal">'[6]Loan Amortization Schedule'!$I$18:$I$377</definedName>
    <definedName name="erwwr">'[7]Oil Mill - New'!$C$82</definedName>
    <definedName name="exchangerate">'[2]WP-2-Ap 1-Prices'!$E$5</definedName>
    <definedName name="ExR_fin">'[8]ExR and other Drivers'!$E$6</definedName>
    <definedName name="exrate" localSheetId="6">'[3]APP 1 Crop Budgets Summary'!$E$7</definedName>
    <definedName name="exrate" localSheetId="5">'[3]APP 1 Crop Budgets Summary'!$E$7</definedName>
    <definedName name="exrate" localSheetId="4">'[3]APP 1 Crop Budgets Summary'!$E$7</definedName>
    <definedName name="exrate">'[14]APP 1 Crop Budgets Summary'!$E$7</definedName>
    <definedName name="familylabour">'[2]WP-2-Ap 1-Prices'!$F$69</definedName>
    <definedName name="Fert">'[2]WP-2-Ap 1-Prices'!$F$29</definedName>
    <definedName name="fertilizer">'[2]WP-2-Ap 1-Prices'!$F$46</definedName>
    <definedName name="FMan">[9]base!$C$30</definedName>
    <definedName name="Funding">OFFSET('[1]Title Lists'!$H$2,0,0,COUNTA('[1]Title Lists'!$H:$H)-1,1)</definedName>
    <definedName name="Header_Row">ROW('[6]Loan Amortization Schedule'!$A$17:$IV$17)</definedName>
    <definedName name="hired_labour">'[10]Annex 1 Fin and Economic Prices'!$D$84</definedName>
    <definedName name="hiredlabour">'[2]WP-2-Ap 1-Prices'!$F$70</definedName>
    <definedName name="Interest_Rate">'[6]Loan Amortization Schedule'!$D$6</definedName>
    <definedName name="kWh">'[2]WP-2-Ap 1-Prices'!$F$60</definedName>
    <definedName name="labormonth">'[2]WP-2-Ap 1-Prices'!$F$71</definedName>
    <definedName name="Last_Row">#N/A</definedName>
    <definedName name="last_Row1">#N/A</definedName>
    <definedName name="Last_Row9">#N/A</definedName>
    <definedName name="Loan_Amount">'[6]Loan Amortization Schedule'!$D$5</definedName>
    <definedName name="Loan_Start">'[6]Loan Amortization Schedule'!$D$9</definedName>
    <definedName name="Loan_Years">'[6]Loan Amortization Schedule'!$D$7</definedName>
    <definedName name="manure" localSheetId="6">'[3]APP1 Financial  Prices'!$D$14</definedName>
    <definedName name="manure" localSheetId="5">'[3]APP1 Financial  Prices'!$D$14</definedName>
    <definedName name="manure" localSheetId="4">'[3]APP1 Financial  Prices'!$D$14</definedName>
    <definedName name="manure">'[14]APP1 Financial  Prices'!$D$14</definedName>
    <definedName name="milk" localSheetId="6">'[3]APP1 Financial  Prices'!$D$13</definedName>
    <definedName name="milk" localSheetId="5">'[3]APP1 Financial  Prices'!$D$13</definedName>
    <definedName name="milk" localSheetId="4">'[3]APP1 Financial  Prices'!$D$13</definedName>
    <definedName name="milk">'[14]APP1 Financial  Prices'!$D$13</definedName>
    <definedName name="nmBlankCell">'[11]1b.nominal prices'!$A$3:$A$3</definedName>
    <definedName name="orange">'[2]WP-2-Ap 1-Prices'!$F$9</definedName>
    <definedName name="Outputs">OFFSET('[1]Title Lists'!$D$2,0,0,COUNTA('[1]Title Lists'!$D:$D)-1,1)</definedName>
    <definedName name="Payment_Date">#N/A</definedName>
    <definedName name="peachfresh">'[2]WP-2-Ap 1-Prices'!$F$9</definedName>
    <definedName name="Ploughing">'[2]WP-2-Ap 1-Prices'!$F$24</definedName>
    <definedName name="_xlnm.Print_Area" localSheetId="6">'Detailed Budget'!$A$1:$X$98</definedName>
    <definedName name="_xlnm.Print_Area" localSheetId="5">'Detailed Budget Notes '!$A$1:$I$186</definedName>
    <definedName name="_xlnm.Print_Area">#N/A</definedName>
    <definedName name="Print_Area_Reset">#N/A</definedName>
    <definedName name="q">'[7]Fruit Drying'!$C$80</definedName>
    <definedName name="Slicer_Budget_Categories">#N/A</definedName>
    <definedName name="Slicer_Component">#N/A</definedName>
    <definedName name="Slicer_Output">#N/A</definedName>
    <definedName name="Thir">[9]base!$C$34</definedName>
    <definedName name="totdouar">#N/A</definedName>
    <definedName name="transportation">'[2]WP-2-Ap 1-Prices'!$F$59</definedName>
    <definedName name="USD">'[12]5-12 formationCU'!$B$1</definedName>
    <definedName name="water">'[2]WP-2-Ap 1-Prices'!$F$55</definedName>
    <definedName name="XR">'[13]T 1'!$E$68</definedName>
  </definedNames>
  <calcPr calcId="124519"/>
</workbook>
</file>

<file path=xl/calcChain.xml><?xml version="1.0" encoding="utf-8"?>
<calcChain xmlns="http://schemas.openxmlformats.org/spreadsheetml/2006/main">
  <c r="B23" i="29"/>
  <c r="C5"/>
  <c r="F22" i="36"/>
  <c r="F23"/>
  <c r="F24"/>
  <c r="F25"/>
  <c r="F26"/>
  <c r="E27"/>
  <c r="F27" s="1"/>
  <c r="E28"/>
  <c r="F28"/>
  <c r="E29"/>
  <c r="F29" s="1"/>
  <c r="G186" s="1"/>
  <c r="I186" s="1"/>
  <c r="E30"/>
  <c r="F30"/>
  <c r="E35"/>
  <c r="F35" s="1"/>
  <c r="E36"/>
  <c r="F36"/>
  <c r="E38"/>
  <c r="F38" s="1"/>
  <c r="E39"/>
  <c r="E44"/>
  <c r="F44" s="1"/>
  <c r="E45"/>
  <c r="F45"/>
  <c r="E46"/>
  <c r="F46" s="1"/>
  <c r="E51"/>
  <c r="F51"/>
  <c r="E52"/>
  <c r="F52" s="1"/>
  <c r="E58"/>
  <c r="F58"/>
  <c r="E63"/>
  <c r="F63" s="1"/>
  <c r="E68"/>
  <c r="F68"/>
  <c r="E70"/>
  <c r="F70" s="1"/>
  <c r="E72"/>
  <c r="F72"/>
  <c r="E73"/>
  <c r="F73" s="1"/>
  <c r="E74"/>
  <c r="F74"/>
  <c r="E75"/>
  <c r="E76"/>
  <c r="F76" s="1"/>
  <c r="E77"/>
  <c r="E79"/>
  <c r="F79"/>
  <c r="E80"/>
  <c r="F80"/>
  <c r="E85"/>
  <c r="F85"/>
  <c r="E86"/>
  <c r="F86"/>
  <c r="F96"/>
  <c r="F95" s="1"/>
  <c r="F103" s="1"/>
  <c r="F97"/>
  <c r="F98"/>
  <c r="F99"/>
  <c r="E105"/>
  <c r="F105" s="1"/>
  <c r="E106"/>
  <c r="F106"/>
  <c r="E107"/>
  <c r="F107" s="1"/>
  <c r="E113"/>
  <c r="F113"/>
  <c r="D115"/>
  <c r="E115" s="1"/>
  <c r="E122"/>
  <c r="F122"/>
  <c r="E124"/>
  <c r="F124" s="1"/>
  <c r="E125"/>
  <c r="F125"/>
  <c r="E127"/>
  <c r="F127" s="1"/>
  <c r="E129"/>
  <c r="F129"/>
  <c r="E134"/>
  <c r="F134" s="1"/>
  <c r="E135"/>
  <c r="F135"/>
  <c r="E140"/>
  <c r="E141"/>
  <c r="F141" s="1"/>
  <c r="E149"/>
  <c r="F149" s="1"/>
  <c r="F150"/>
  <c r="F151"/>
  <c r="F152"/>
  <c r="E153"/>
  <c r="F153" s="1"/>
  <c r="E154"/>
  <c r="F154"/>
  <c r="E155"/>
  <c r="F155" s="1"/>
  <c r="F157"/>
  <c r="E157" s="1"/>
  <c r="E159" s="1"/>
  <c r="E158"/>
  <c r="F158"/>
  <c r="G164"/>
  <c r="F165"/>
  <c r="G165" s="1"/>
  <c r="G166"/>
  <c r="G167"/>
  <c r="G168"/>
  <c r="G169"/>
  <c r="F174"/>
  <c r="G174" s="1"/>
  <c r="F175"/>
  <c r="G175" s="1"/>
  <c r="F176"/>
  <c r="F177"/>
  <c r="G177" s="1"/>
  <c r="F178"/>
  <c r="G178"/>
  <c r="F179"/>
  <c r="G179" s="1"/>
  <c r="D181"/>
  <c r="E181"/>
  <c r="I2" i="35"/>
  <c r="M2"/>
  <c r="M16" s="1"/>
  <c r="O2"/>
  <c r="P2"/>
  <c r="R3"/>
  <c r="S3"/>
  <c r="J4"/>
  <c r="L4"/>
  <c r="R4" s="1"/>
  <c r="M4"/>
  <c r="N4"/>
  <c r="O4"/>
  <c r="P4"/>
  <c r="G5"/>
  <c r="J5"/>
  <c r="R5"/>
  <c r="T5"/>
  <c r="G6"/>
  <c r="J6"/>
  <c r="R6"/>
  <c r="T6"/>
  <c r="G7"/>
  <c r="J7"/>
  <c r="R7"/>
  <c r="U7"/>
  <c r="G8"/>
  <c r="J8"/>
  <c r="R8"/>
  <c r="U8"/>
  <c r="G9"/>
  <c r="J9"/>
  <c r="R9"/>
  <c r="U9"/>
  <c r="G10"/>
  <c r="J10"/>
  <c r="R10"/>
  <c r="U10"/>
  <c r="G11"/>
  <c r="J11"/>
  <c r="R11"/>
  <c r="U11"/>
  <c r="G12"/>
  <c r="J12"/>
  <c r="R12"/>
  <c r="U12"/>
  <c r="G13"/>
  <c r="J13"/>
  <c r="R13"/>
  <c r="U13"/>
  <c r="G14"/>
  <c r="J14"/>
  <c r="R14"/>
  <c r="U14"/>
  <c r="G15"/>
  <c r="J15"/>
  <c r="R15"/>
  <c r="U15"/>
  <c r="K16"/>
  <c r="L16"/>
  <c r="N16"/>
  <c r="O16"/>
  <c r="P16"/>
  <c r="Q16"/>
  <c r="T16"/>
  <c r="X16" s="1"/>
  <c r="G17"/>
  <c r="J17"/>
  <c r="R17"/>
  <c r="U17" s="1"/>
  <c r="J18"/>
  <c r="R18"/>
  <c r="U18"/>
  <c r="J19"/>
  <c r="R19"/>
  <c r="U19" s="1"/>
  <c r="J20"/>
  <c r="R20"/>
  <c r="U20"/>
  <c r="G21"/>
  <c r="J21"/>
  <c r="R21"/>
  <c r="S21"/>
  <c r="G22"/>
  <c r="J22"/>
  <c r="R22"/>
  <c r="U22"/>
  <c r="G23"/>
  <c r="J23"/>
  <c r="L23"/>
  <c r="R23" s="1"/>
  <c r="U23" s="1"/>
  <c r="Q23"/>
  <c r="G24"/>
  <c r="J24"/>
  <c r="R24"/>
  <c r="U24"/>
  <c r="G25"/>
  <c r="J25"/>
  <c r="R25"/>
  <c r="U25"/>
  <c r="G26"/>
  <c r="L26"/>
  <c r="L31" s="1"/>
  <c r="M26"/>
  <c r="N26"/>
  <c r="N31" s="1"/>
  <c r="N32" s="1"/>
  <c r="O26"/>
  <c r="P26"/>
  <c r="P31" s="1"/>
  <c r="P32" s="1"/>
  <c r="Q26"/>
  <c r="R26"/>
  <c r="U26" s="1"/>
  <c r="G27"/>
  <c r="J27"/>
  <c r="R27"/>
  <c r="T27" s="1"/>
  <c r="G28"/>
  <c r="J28"/>
  <c r="R28"/>
  <c r="V28" s="1"/>
  <c r="G29"/>
  <c r="J29"/>
  <c r="R29"/>
  <c r="U29" s="1"/>
  <c r="G30"/>
  <c r="J30"/>
  <c r="R30"/>
  <c r="U30" s="1"/>
  <c r="K31"/>
  <c r="M31"/>
  <c r="O31"/>
  <c r="Q31"/>
  <c r="S31"/>
  <c r="K32"/>
  <c r="O32"/>
  <c r="Q32"/>
  <c r="J33"/>
  <c r="R33"/>
  <c r="U33"/>
  <c r="J34"/>
  <c r="R34"/>
  <c r="U34" s="1"/>
  <c r="U37" s="1"/>
  <c r="W37" s="1"/>
  <c r="G35"/>
  <c r="J35"/>
  <c r="R35"/>
  <c r="T35" s="1"/>
  <c r="G36"/>
  <c r="J36"/>
  <c r="R36"/>
  <c r="T36" s="1"/>
  <c r="K37"/>
  <c r="L37"/>
  <c r="M37"/>
  <c r="R37" s="1"/>
  <c r="N37"/>
  <c r="O37"/>
  <c r="P37"/>
  <c r="Q37"/>
  <c r="S37"/>
  <c r="V37"/>
  <c r="G38"/>
  <c r="J38"/>
  <c r="R38"/>
  <c r="U38" s="1"/>
  <c r="U39" s="1"/>
  <c r="K39"/>
  <c r="L39"/>
  <c r="M39"/>
  <c r="R39" s="1"/>
  <c r="N39"/>
  <c r="O39"/>
  <c r="P39"/>
  <c r="Q39"/>
  <c r="S39"/>
  <c r="T39"/>
  <c r="V39"/>
  <c r="X39"/>
  <c r="K40"/>
  <c r="L40"/>
  <c r="M40"/>
  <c r="R40" s="1"/>
  <c r="N40"/>
  <c r="O40"/>
  <c r="P40"/>
  <c r="Q40"/>
  <c r="S40"/>
  <c r="V40"/>
  <c r="G41"/>
  <c r="J41"/>
  <c r="R41"/>
  <c r="U41" s="1"/>
  <c r="G42"/>
  <c r="J42"/>
  <c r="R42"/>
  <c r="U42" s="1"/>
  <c r="G43"/>
  <c r="J43"/>
  <c r="R43"/>
  <c r="U43" s="1"/>
  <c r="G44"/>
  <c r="J44"/>
  <c r="R44"/>
  <c r="V44" s="1"/>
  <c r="V50" s="1"/>
  <c r="V51" s="1"/>
  <c r="G45"/>
  <c r="J45"/>
  <c r="R45"/>
  <c r="T45" s="1"/>
  <c r="T50" s="1"/>
  <c r="G46"/>
  <c r="J46"/>
  <c r="R46"/>
  <c r="U46" s="1"/>
  <c r="G47"/>
  <c r="J47"/>
  <c r="R47"/>
  <c r="U47" s="1"/>
  <c r="G48"/>
  <c r="J48"/>
  <c r="R48"/>
  <c r="U48" s="1"/>
  <c r="G49"/>
  <c r="J49"/>
  <c r="R49"/>
  <c r="U49" s="1"/>
  <c r="K50"/>
  <c r="L50"/>
  <c r="M50"/>
  <c r="R50" s="1"/>
  <c r="N50"/>
  <c r="O50"/>
  <c r="P50"/>
  <c r="Q50"/>
  <c r="S50"/>
  <c r="K51"/>
  <c r="L51"/>
  <c r="M51"/>
  <c r="R51" s="1"/>
  <c r="N51"/>
  <c r="O51"/>
  <c r="P51"/>
  <c r="Q51"/>
  <c r="S51"/>
  <c r="G52"/>
  <c r="J52"/>
  <c r="R52"/>
  <c r="U52" s="1"/>
  <c r="G53"/>
  <c r="J53"/>
  <c r="R53"/>
  <c r="U53" s="1"/>
  <c r="G54"/>
  <c r="J54"/>
  <c r="R54"/>
  <c r="U54" s="1"/>
  <c r="G55"/>
  <c r="J55"/>
  <c r="R55"/>
  <c r="U55" s="1"/>
  <c r="G56"/>
  <c r="J56"/>
  <c r="R56"/>
  <c r="U56" s="1"/>
  <c r="G57"/>
  <c r="J57"/>
  <c r="R57"/>
  <c r="V57" s="1"/>
  <c r="V70" s="1"/>
  <c r="G58"/>
  <c r="K58"/>
  <c r="L58"/>
  <c r="L70" s="1"/>
  <c r="M58"/>
  <c r="N58"/>
  <c r="N70" s="1"/>
  <c r="N71" s="1"/>
  <c r="N72" s="1"/>
  <c r="O58"/>
  <c r="P58"/>
  <c r="P70" s="1"/>
  <c r="P71" s="1"/>
  <c r="P72" s="1"/>
  <c r="Q58"/>
  <c r="G59"/>
  <c r="G60" s="1"/>
  <c r="G61" s="1"/>
  <c r="G62" s="1"/>
  <c r="G63" s="1"/>
  <c r="G64" s="1"/>
  <c r="G65" s="1"/>
  <c r="G66" s="1"/>
  <c r="G67" s="1"/>
  <c r="G68" s="1"/>
  <c r="G69" s="1"/>
  <c r="K59"/>
  <c r="L59"/>
  <c r="R59" s="1"/>
  <c r="U59" s="1"/>
  <c r="K60"/>
  <c r="L60"/>
  <c r="M60"/>
  <c r="R60" s="1"/>
  <c r="U60" s="1"/>
  <c r="N60"/>
  <c r="O60"/>
  <c r="O101" s="1"/>
  <c r="O106" s="1"/>
  <c r="P60"/>
  <c r="Q60"/>
  <c r="Q101" s="1"/>
  <c r="Q106" s="1"/>
  <c r="K61"/>
  <c r="L61"/>
  <c r="M61"/>
  <c r="R61" s="1"/>
  <c r="U61" s="1"/>
  <c r="N61"/>
  <c r="O61"/>
  <c r="P61"/>
  <c r="Q61"/>
  <c r="K62"/>
  <c r="L62"/>
  <c r="M62"/>
  <c r="R62" s="1"/>
  <c r="U62" s="1"/>
  <c r="N62"/>
  <c r="O62"/>
  <c r="P62"/>
  <c r="Q62"/>
  <c r="K63"/>
  <c r="L63"/>
  <c r="M63"/>
  <c r="R63" s="1"/>
  <c r="U63" s="1"/>
  <c r="N63"/>
  <c r="O63"/>
  <c r="P63"/>
  <c r="Q63"/>
  <c r="J64"/>
  <c r="R64"/>
  <c r="U64"/>
  <c r="J65"/>
  <c r="R65"/>
  <c r="U65"/>
  <c r="L66"/>
  <c r="M66"/>
  <c r="N66"/>
  <c r="O66"/>
  <c r="P66"/>
  <c r="Q66"/>
  <c r="R66"/>
  <c r="U66" s="1"/>
  <c r="J67"/>
  <c r="R67"/>
  <c r="U67" s="1"/>
  <c r="J68"/>
  <c r="R68"/>
  <c r="U68" s="1"/>
  <c r="J69"/>
  <c r="R69"/>
  <c r="U69" s="1"/>
  <c r="K70"/>
  <c r="M70"/>
  <c r="O70"/>
  <c r="Q70"/>
  <c r="S70"/>
  <c r="T70"/>
  <c r="K71"/>
  <c r="O71"/>
  <c r="Q71"/>
  <c r="K73"/>
  <c r="K72" s="1"/>
  <c r="L73"/>
  <c r="M73"/>
  <c r="R73" s="1"/>
  <c r="M85" s="1"/>
  <c r="N73"/>
  <c r="O73"/>
  <c r="O72" s="1"/>
  <c r="P73"/>
  <c r="Q73"/>
  <c r="Q72" s="1"/>
  <c r="L78"/>
  <c r="M78"/>
  <c r="N78"/>
  <c r="L93" s="1"/>
  <c r="O78"/>
  <c r="P78"/>
  <c r="Q78"/>
  <c r="T78"/>
  <c r="T105" s="1"/>
  <c r="U78"/>
  <c r="V78"/>
  <c r="V105" s="1"/>
  <c r="M79"/>
  <c r="O79"/>
  <c r="Q79"/>
  <c r="S79"/>
  <c r="S106" s="1"/>
  <c r="T79"/>
  <c r="V79"/>
  <c r="L80"/>
  <c r="L107" s="1"/>
  <c r="M80"/>
  <c r="N80"/>
  <c r="N107" s="1"/>
  <c r="O80"/>
  <c r="P80"/>
  <c r="P107" s="1"/>
  <c r="Q80"/>
  <c r="R80"/>
  <c r="R107" s="1"/>
  <c r="S80"/>
  <c r="L81"/>
  <c r="M81"/>
  <c r="M108" s="1"/>
  <c r="N81"/>
  <c r="O81"/>
  <c r="O108" s="1"/>
  <c r="P81"/>
  <c r="Q81"/>
  <c r="Q108" s="1"/>
  <c r="S81"/>
  <c r="S108" s="1"/>
  <c r="T81"/>
  <c r="U81"/>
  <c r="U108" s="1"/>
  <c r="L90"/>
  <c r="L96"/>
  <c r="L100"/>
  <c r="M100"/>
  <c r="N100"/>
  <c r="O100"/>
  <c r="P100"/>
  <c r="Q100"/>
  <c r="T100"/>
  <c r="U100"/>
  <c r="V100"/>
  <c r="L101"/>
  <c r="N101"/>
  <c r="P101"/>
  <c r="S101"/>
  <c r="T101"/>
  <c r="V101"/>
  <c r="L102"/>
  <c r="M102"/>
  <c r="N102"/>
  <c r="O102"/>
  <c r="P102"/>
  <c r="Q102"/>
  <c r="R102"/>
  <c r="S102"/>
  <c r="U102"/>
  <c r="V102"/>
  <c r="L103"/>
  <c r="M103"/>
  <c r="N103"/>
  <c r="O103"/>
  <c r="P103"/>
  <c r="Q103"/>
  <c r="R103"/>
  <c r="S103"/>
  <c r="T103"/>
  <c r="U103"/>
  <c r="M105"/>
  <c r="O105"/>
  <c r="Q105"/>
  <c r="U105"/>
  <c r="T106"/>
  <c r="V106"/>
  <c r="M107"/>
  <c r="O107"/>
  <c r="Q107"/>
  <c r="S107"/>
  <c r="U107"/>
  <c r="V107"/>
  <c r="L108"/>
  <c r="N108"/>
  <c r="P108"/>
  <c r="T108"/>
  <c r="L111"/>
  <c r="M111"/>
  <c r="M116" s="1"/>
  <c r="N111"/>
  <c r="O111"/>
  <c r="O116" s="1"/>
  <c r="P111"/>
  <c r="Q111"/>
  <c r="Q116" s="1"/>
  <c r="L112"/>
  <c r="M112"/>
  <c r="N112"/>
  <c r="O112"/>
  <c r="P112"/>
  <c r="Q112"/>
  <c r="L113"/>
  <c r="M113"/>
  <c r="N113"/>
  <c r="O113"/>
  <c r="P113"/>
  <c r="Q113"/>
  <c r="L114"/>
  <c r="M114"/>
  <c r="N114"/>
  <c r="O114"/>
  <c r="P114"/>
  <c r="Q114"/>
  <c r="R114"/>
  <c r="S114"/>
  <c r="T114"/>
  <c r="U114"/>
  <c r="V114"/>
  <c r="L115"/>
  <c r="M115"/>
  <c r="N115"/>
  <c r="O115"/>
  <c r="P115"/>
  <c r="Q115"/>
  <c r="L116"/>
  <c r="N116"/>
  <c r="P116"/>
  <c r="B25" i="29"/>
  <c r="E32" i="9"/>
  <c r="F31"/>
  <c r="G31"/>
  <c r="H31"/>
  <c r="I31"/>
  <c r="J31"/>
  <c r="K31"/>
  <c r="L31"/>
  <c r="M31"/>
  <c r="N31"/>
  <c r="O31"/>
  <c r="P31"/>
  <c r="Q31"/>
  <c r="R31"/>
  <c r="S31"/>
  <c r="T31"/>
  <c r="U31"/>
  <c r="V31"/>
  <c r="W31"/>
  <c r="X31"/>
  <c r="Y31"/>
  <c r="E28"/>
  <c r="A4" i="31"/>
  <c r="B4"/>
  <c r="A5"/>
  <c r="B5"/>
  <c r="A6"/>
  <c r="B6"/>
  <c r="A7"/>
  <c r="B7"/>
  <c r="A8"/>
  <c r="B8"/>
  <c r="A9"/>
  <c r="B9"/>
  <c r="B11"/>
  <c r="B15"/>
  <c r="B10" s="1"/>
  <c r="A26" i="30"/>
  <c r="F28"/>
  <c r="G28"/>
  <c r="H28" s="1"/>
  <c r="C29"/>
  <c r="D29" s="1"/>
  <c r="C30"/>
  <c r="D30" s="1"/>
  <c r="C31"/>
  <c r="D31" s="1"/>
  <c r="H31" s="1"/>
  <c r="E31"/>
  <c r="C33"/>
  <c r="D33"/>
  <c r="H33" s="1"/>
  <c r="E33"/>
  <c r="C34"/>
  <c r="A41"/>
  <c r="F43"/>
  <c r="G43" s="1"/>
  <c r="H43" s="1"/>
  <c r="H50" s="1"/>
  <c r="C44"/>
  <c r="D44" s="1"/>
  <c r="C45"/>
  <c r="C46"/>
  <c r="D46" s="1"/>
  <c r="H46" s="1"/>
  <c r="E46"/>
  <c r="C48"/>
  <c r="D48" s="1"/>
  <c r="H48" s="1"/>
  <c r="E48"/>
  <c r="C49"/>
  <c r="A54"/>
  <c r="F56"/>
  <c r="G56"/>
  <c r="H56" s="1"/>
  <c r="C57"/>
  <c r="D57" s="1"/>
  <c r="C58"/>
  <c r="D58" s="1"/>
  <c r="C59"/>
  <c r="D59" s="1"/>
  <c r="H59" s="1"/>
  <c r="E59"/>
  <c r="C61"/>
  <c r="D61"/>
  <c r="H61" s="1"/>
  <c r="E61"/>
  <c r="C62"/>
  <c r="A67"/>
  <c r="F69"/>
  <c r="G69" s="1"/>
  <c r="H69" s="1"/>
  <c r="H76" s="1"/>
  <c r="C70"/>
  <c r="D70" s="1"/>
  <c r="C71"/>
  <c r="C72"/>
  <c r="D72" s="1"/>
  <c r="H72" s="1"/>
  <c r="E72"/>
  <c r="C74"/>
  <c r="D74" s="1"/>
  <c r="H74" s="1"/>
  <c r="E74"/>
  <c r="C75"/>
  <c r="A80"/>
  <c r="F82"/>
  <c r="G82"/>
  <c r="H82" s="1"/>
  <c r="C83"/>
  <c r="D83" s="1"/>
  <c r="C84"/>
  <c r="D84" s="1"/>
  <c r="C85"/>
  <c r="D85" s="1"/>
  <c r="H85" s="1"/>
  <c r="E85"/>
  <c r="C87"/>
  <c r="D87"/>
  <c r="H87" s="1"/>
  <c r="E87"/>
  <c r="C88"/>
  <c r="A94"/>
  <c r="F96"/>
  <c r="G96" s="1"/>
  <c r="H96" s="1"/>
  <c r="H103" s="1"/>
  <c r="C97"/>
  <c r="D97" s="1"/>
  <c r="C98"/>
  <c r="C99"/>
  <c r="D99" s="1"/>
  <c r="H99" s="1"/>
  <c r="E99"/>
  <c r="C101"/>
  <c r="D101" s="1"/>
  <c r="H101" s="1"/>
  <c r="E101"/>
  <c r="C102"/>
  <c r="A107"/>
  <c r="F109"/>
  <c r="G109"/>
  <c r="H109" s="1"/>
  <c r="C111"/>
  <c r="C112"/>
  <c r="D112" s="1"/>
  <c r="H112" s="1"/>
  <c r="E112"/>
  <c r="C114"/>
  <c r="D114"/>
  <c r="H114" s="1"/>
  <c r="E114"/>
  <c r="C115"/>
  <c r="B124"/>
  <c r="G185" i="36" l="1"/>
  <c r="I185" s="1"/>
  <c r="D143"/>
  <c r="E143" s="1"/>
  <c r="D88"/>
  <c r="D184"/>
  <c r="E184" s="1"/>
  <c r="R70" i="35"/>
  <c r="W39"/>
  <c r="U40"/>
  <c r="W40" s="1"/>
  <c r="T31"/>
  <c r="T102"/>
  <c r="T80"/>
  <c r="X70"/>
  <c r="V73"/>
  <c r="R16"/>
  <c r="M32"/>
  <c r="M71" s="1"/>
  <c r="M72" s="1"/>
  <c r="T37"/>
  <c r="U31"/>
  <c r="X50"/>
  <c r="T51"/>
  <c r="V103"/>
  <c r="V31"/>
  <c r="V32" s="1"/>
  <c r="V81"/>
  <c r="R31"/>
  <c r="L32"/>
  <c r="R32" s="1"/>
  <c r="U4"/>
  <c r="U50"/>
  <c r="P105"/>
  <c r="L105"/>
  <c r="M101"/>
  <c r="M106" s="1"/>
  <c r="R81"/>
  <c r="R108" s="1"/>
  <c r="N79"/>
  <c r="R2"/>
  <c r="R58"/>
  <c r="R79" s="1"/>
  <c r="N105"/>
  <c r="P79"/>
  <c r="L79"/>
  <c r="B4" i="32"/>
  <c r="C70" i="9"/>
  <c r="C73"/>
  <c r="C74" s="1"/>
  <c r="C69"/>
  <c r="D73" i="30"/>
  <c r="D76" s="1"/>
  <c r="C77" s="1"/>
  <c r="D47"/>
  <c r="D50" s="1"/>
  <c r="C51" s="1"/>
  <c r="H116"/>
  <c r="D98"/>
  <c r="D100" s="1"/>
  <c r="H89"/>
  <c r="D71"/>
  <c r="H63"/>
  <c r="D45"/>
  <c r="H35"/>
  <c r="D86"/>
  <c r="D75"/>
  <c r="D60"/>
  <c r="D32"/>
  <c r="C110"/>
  <c r="D110" s="1"/>
  <c r="D111" s="1"/>
  <c r="E88" i="36" l="1"/>
  <c r="D182"/>
  <c r="E182" s="1"/>
  <c r="L92" i="35"/>
  <c r="N106"/>
  <c r="L94"/>
  <c r="L71"/>
  <c r="V108"/>
  <c r="T107"/>
  <c r="U58"/>
  <c r="R101"/>
  <c r="R106" s="1"/>
  <c r="X37"/>
  <c r="T40"/>
  <c r="X40" s="1"/>
  <c r="X31"/>
  <c r="T32"/>
  <c r="X32" s="1"/>
  <c r="W50"/>
  <c r="U51"/>
  <c r="W51" s="1"/>
  <c r="U79"/>
  <c r="U16"/>
  <c r="W31"/>
  <c r="U32"/>
  <c r="L97"/>
  <c r="P106"/>
  <c r="L106"/>
  <c r="L91"/>
  <c r="R100"/>
  <c r="S2"/>
  <c r="R78"/>
  <c r="T73"/>
  <c r="X51"/>
  <c r="L95"/>
  <c r="L89"/>
  <c r="L98" s="1"/>
  <c r="D103" i="30"/>
  <c r="C104" s="1"/>
  <c r="D102"/>
  <c r="D63"/>
  <c r="C64" s="1"/>
  <c r="D62"/>
  <c r="C90"/>
  <c r="D49"/>
  <c r="D35"/>
  <c r="C36" s="1"/>
  <c r="D34"/>
  <c r="D89"/>
  <c r="D88"/>
  <c r="D113"/>
  <c r="U101" i="35" l="1"/>
  <c r="U106" s="1"/>
  <c r="U70"/>
  <c r="R105"/>
  <c r="S78"/>
  <c r="S16"/>
  <c r="S100"/>
  <c r="S105" s="1"/>
  <c r="R71"/>
  <c r="L72"/>
  <c r="R72" s="1"/>
  <c r="D115" i="30"/>
  <c r="D116"/>
  <c r="C117" s="1"/>
  <c r="W16" i="35" l="1"/>
  <c r="S32"/>
  <c r="W70"/>
  <c r="U72"/>
  <c r="D79" i="9"/>
  <c r="W32" i="35" l="1"/>
  <c r="S72"/>
  <c r="D57" i="9"/>
  <c r="E74" l="1"/>
  <c r="D18" l="1"/>
  <c r="D37" s="1"/>
  <c r="B42" i="29" l="1"/>
  <c r="B41"/>
  <c r="C9" l="1"/>
  <c r="C6"/>
  <c r="C18" s="1"/>
  <c r="E7" i="9" l="1"/>
  <c r="E11" l="1"/>
  <c r="E31" s="1"/>
  <c r="C12" i="29"/>
  <c r="F12" i="9" s="1"/>
  <c r="F7"/>
  <c r="E27"/>
  <c r="E73" l="1"/>
  <c r="E75" s="1"/>
  <c r="E33"/>
  <c r="G12"/>
  <c r="F13"/>
  <c r="E13" s="1"/>
  <c r="F32"/>
  <c r="F27"/>
  <c r="G7"/>
  <c r="E29"/>
  <c r="E69"/>
  <c r="F69" l="1"/>
  <c r="G27"/>
  <c r="G69" s="1"/>
  <c r="H7"/>
  <c r="G13"/>
  <c r="H12"/>
  <c r="G32"/>
  <c r="F74"/>
  <c r="F75" s="1"/>
  <c r="F33"/>
  <c r="G74" l="1"/>
  <c r="G75" s="1"/>
  <c r="G33"/>
  <c r="H27"/>
  <c r="H69" s="1"/>
  <c r="I7"/>
  <c r="H32"/>
  <c r="I12"/>
  <c r="H13"/>
  <c r="H33" l="1"/>
  <c r="H74"/>
  <c r="H75" s="1"/>
  <c r="I13"/>
  <c r="I32"/>
  <c r="J12"/>
  <c r="I27"/>
  <c r="I69" s="1"/>
  <c r="J7"/>
  <c r="I33" l="1"/>
  <c r="I74"/>
  <c r="I75" s="1"/>
  <c r="K12"/>
  <c r="J13"/>
  <c r="J32"/>
  <c r="J27"/>
  <c r="J69" s="1"/>
  <c r="K7"/>
  <c r="J33" l="1"/>
  <c r="J74"/>
  <c r="J75" s="1"/>
  <c r="K27"/>
  <c r="K69" s="1"/>
  <c r="L7"/>
  <c r="K32"/>
  <c r="K13"/>
  <c r="L12"/>
  <c r="L27" l="1"/>
  <c r="L69" s="1"/>
  <c r="M7"/>
  <c r="K33"/>
  <c r="K74"/>
  <c r="K75" s="1"/>
  <c r="L13"/>
  <c r="L32"/>
  <c r="M12"/>
  <c r="L33" l="1"/>
  <c r="L74"/>
  <c r="L75" s="1"/>
  <c r="M27"/>
  <c r="M69" s="1"/>
  <c r="N7"/>
  <c r="M32"/>
  <c r="M13"/>
  <c r="N12"/>
  <c r="N32" l="1"/>
  <c r="N13"/>
  <c r="O12"/>
  <c r="M33"/>
  <c r="M74"/>
  <c r="M75" s="1"/>
  <c r="N27"/>
  <c r="N69" s="1"/>
  <c r="O7"/>
  <c r="N74" l="1"/>
  <c r="N75" s="1"/>
  <c r="N33"/>
  <c r="O27"/>
  <c r="O69" s="1"/>
  <c r="P7"/>
  <c r="O13"/>
  <c r="P12"/>
  <c r="O32"/>
  <c r="P13" l="1"/>
  <c r="Q12"/>
  <c r="P32"/>
  <c r="O74"/>
  <c r="O75" s="1"/>
  <c r="O33"/>
  <c r="P27"/>
  <c r="P69" s="1"/>
  <c r="Q7"/>
  <c r="Q27" l="1"/>
  <c r="Q69" s="1"/>
  <c r="R7"/>
  <c r="P74"/>
  <c r="P75" s="1"/>
  <c r="P33"/>
  <c r="Q13"/>
  <c r="R12"/>
  <c r="Q32"/>
  <c r="Q74" l="1"/>
  <c r="Q75" s="1"/>
  <c r="Q33"/>
  <c r="R13"/>
  <c r="S12"/>
  <c r="R32"/>
  <c r="R27"/>
  <c r="R69" s="1"/>
  <c r="S7"/>
  <c r="R33" l="1"/>
  <c r="R74"/>
  <c r="R75" s="1"/>
  <c r="S27"/>
  <c r="S69" s="1"/>
  <c r="T7"/>
  <c r="S32"/>
  <c r="S13"/>
  <c r="T12"/>
  <c r="S33" l="1"/>
  <c r="S74"/>
  <c r="S75" s="1"/>
  <c r="T32"/>
  <c r="T13"/>
  <c r="U12"/>
  <c r="T27"/>
  <c r="T69" s="1"/>
  <c r="U7"/>
  <c r="V12" l="1"/>
  <c r="U13"/>
  <c r="U32"/>
  <c r="U27"/>
  <c r="U69" s="1"/>
  <c r="V7"/>
  <c r="T74"/>
  <c r="T75" s="1"/>
  <c r="T33"/>
  <c r="V27" l="1"/>
  <c r="V69" s="1"/>
  <c r="W7"/>
  <c r="V32"/>
  <c r="W12"/>
  <c r="V13"/>
  <c r="U33"/>
  <c r="U74"/>
  <c r="U75" s="1"/>
  <c r="W27" l="1"/>
  <c r="W69" s="1"/>
  <c r="X7"/>
  <c r="V74"/>
  <c r="V75" s="1"/>
  <c r="V33"/>
  <c r="X12"/>
  <c r="W13"/>
  <c r="W32"/>
  <c r="X27" l="1"/>
  <c r="X69" s="1"/>
  <c r="Y7"/>
  <c r="Y27" s="1"/>
  <c r="Y69" s="1"/>
  <c r="W33"/>
  <c r="W74"/>
  <c r="W75" s="1"/>
  <c r="X32"/>
  <c r="X13"/>
  <c r="Y12"/>
  <c r="Y32" s="1"/>
  <c r="X74" l="1"/>
  <c r="X75" s="1"/>
  <c r="X76" s="1"/>
  <c r="X33"/>
  <c r="Y33"/>
  <c r="Y74"/>
  <c r="Y75" s="1"/>
  <c r="E9"/>
  <c r="E14" s="1"/>
  <c r="Y13"/>
  <c r="Y14" s="1"/>
  <c r="E34"/>
  <c r="D100"/>
  <c r="B27" i="29"/>
  <c r="B43"/>
  <c r="B44"/>
  <c r="B47"/>
  <c r="C14"/>
  <c r="B45"/>
  <c r="B48"/>
  <c r="C15"/>
  <c r="F8" i="9"/>
  <c r="F28"/>
  <c r="F70"/>
  <c r="E70"/>
  <c r="F29"/>
  <c r="F34"/>
  <c r="D39" s="1"/>
  <c r="G8"/>
  <c r="G28"/>
  <c r="G29"/>
  <c r="G34"/>
  <c r="H8"/>
  <c r="H28"/>
  <c r="H29"/>
  <c r="H34"/>
  <c r="I8"/>
  <c r="I28"/>
  <c r="I29"/>
  <c r="I34"/>
  <c r="J8"/>
  <c r="J28"/>
  <c r="J29"/>
  <c r="J34"/>
  <c r="K8"/>
  <c r="K28"/>
  <c r="K29"/>
  <c r="K34"/>
  <c r="L8"/>
  <c r="L28"/>
  <c r="L29"/>
  <c r="L34"/>
  <c r="M8"/>
  <c r="M28"/>
  <c r="M29"/>
  <c r="M34"/>
  <c r="N8"/>
  <c r="N28"/>
  <c r="N29"/>
  <c r="N34"/>
  <c r="O8"/>
  <c r="O28"/>
  <c r="O29"/>
  <c r="O34"/>
  <c r="P8"/>
  <c r="P28"/>
  <c r="P29"/>
  <c r="P34"/>
  <c r="Q8"/>
  <c r="Q28"/>
  <c r="Q29"/>
  <c r="Q34"/>
  <c r="R8"/>
  <c r="R28"/>
  <c r="R29"/>
  <c r="R34"/>
  <c r="S8"/>
  <c r="S28"/>
  <c r="S29"/>
  <c r="S34"/>
  <c r="T8"/>
  <c r="T28"/>
  <c r="T29"/>
  <c r="T34"/>
  <c r="U8"/>
  <c r="U28"/>
  <c r="U29"/>
  <c r="U34"/>
  <c r="V8"/>
  <c r="V28"/>
  <c r="V29"/>
  <c r="V34"/>
  <c r="W8"/>
  <c r="W28"/>
  <c r="W29"/>
  <c r="W34"/>
  <c r="X8"/>
  <c r="X28"/>
  <c r="X29"/>
  <c r="X34"/>
  <c r="Y8"/>
  <c r="Y28"/>
  <c r="Y29"/>
  <c r="Y34"/>
  <c r="E71"/>
  <c r="E76"/>
  <c r="F71"/>
  <c r="F76"/>
  <c r="G70"/>
  <c r="G71"/>
  <c r="G76"/>
  <c r="H70"/>
  <c r="H71"/>
  <c r="H76"/>
  <c r="I70"/>
  <c r="I71"/>
  <c r="I76"/>
  <c r="J70"/>
  <c r="J71"/>
  <c r="J76"/>
  <c r="K70"/>
  <c r="K71"/>
  <c r="K76"/>
  <c r="L70"/>
  <c r="L71"/>
  <c r="L76"/>
  <c r="M70"/>
  <c r="M71"/>
  <c r="M76"/>
  <c r="N70"/>
  <c r="N71"/>
  <c r="N76"/>
  <c r="O70"/>
  <c r="O71"/>
  <c r="O76"/>
  <c r="P70"/>
  <c r="P71"/>
  <c r="P76"/>
  <c r="Q70"/>
  <c r="Q71"/>
  <c r="Q76"/>
  <c r="R70"/>
  <c r="R71"/>
  <c r="R76"/>
  <c r="S70"/>
  <c r="S71"/>
  <c r="S76"/>
  <c r="T70"/>
  <c r="T71"/>
  <c r="T76"/>
  <c r="U70"/>
  <c r="U71"/>
  <c r="U76"/>
  <c r="V70"/>
  <c r="V71"/>
  <c r="V76"/>
  <c r="W70"/>
  <c r="W71"/>
  <c r="W76"/>
  <c r="X70"/>
  <c r="X71"/>
  <c r="Y70"/>
  <c r="Y71"/>
  <c r="Y76"/>
  <c r="F9"/>
  <c r="F14"/>
  <c r="G9"/>
  <c r="G14"/>
  <c r="H9"/>
  <c r="H14"/>
  <c r="I9"/>
  <c r="I14"/>
  <c r="J9"/>
  <c r="J14"/>
  <c r="K9"/>
  <c r="K14"/>
  <c r="L9"/>
  <c r="L14"/>
  <c r="M9"/>
  <c r="M14"/>
  <c r="N9"/>
  <c r="N14"/>
  <c r="O9"/>
  <c r="O14"/>
  <c r="P9"/>
  <c r="P14"/>
  <c r="Q9"/>
  <c r="Q14"/>
  <c r="R9"/>
  <c r="R14"/>
  <c r="S9"/>
  <c r="S14"/>
  <c r="T9"/>
  <c r="T14"/>
  <c r="U9"/>
  <c r="U14"/>
  <c r="V9"/>
  <c r="V14"/>
  <c r="W9"/>
  <c r="W14"/>
  <c r="X9"/>
  <c r="X14"/>
  <c r="Y9"/>
  <c r="B46" i="29"/>
  <c r="B49"/>
  <c r="C16"/>
  <c r="D21" i="9" l="1"/>
  <c r="D40"/>
  <c r="D41"/>
  <c r="D83"/>
  <c r="D82"/>
  <c r="D20"/>
  <c r="D22"/>
  <c r="D81"/>
  <c r="C27" i="29"/>
  <c r="B28"/>
  <c r="E45" i="9" s="1"/>
  <c r="D27" i="29" l="1"/>
  <c r="C28"/>
  <c r="F45" i="9" s="1"/>
  <c r="E52"/>
  <c r="E87"/>
  <c r="E88" s="1"/>
  <c r="E51"/>
  <c r="E48"/>
  <c r="E47"/>
  <c r="E49" s="1"/>
  <c r="E92" l="1"/>
  <c r="E89"/>
  <c r="E93"/>
  <c r="F51"/>
  <c r="E53"/>
  <c r="E54" s="1"/>
  <c r="E27" i="29"/>
  <c r="D28"/>
  <c r="G45" i="9" s="1"/>
  <c r="F47"/>
  <c r="F87"/>
  <c r="F52"/>
  <c r="F48"/>
  <c r="F49" l="1"/>
  <c r="F54" s="1"/>
  <c r="F27" i="29"/>
  <c r="E28"/>
  <c r="H45" i="9" s="1"/>
  <c r="G87"/>
  <c r="G52"/>
  <c r="G47"/>
  <c r="G48"/>
  <c r="E90"/>
  <c r="G51"/>
  <c r="F53"/>
  <c r="E94"/>
  <c r="F88"/>
  <c r="F92"/>
  <c r="F94" s="1"/>
  <c r="F93"/>
  <c r="F89"/>
  <c r="F90" l="1"/>
  <c r="F95" s="1"/>
  <c r="G49"/>
  <c r="G93"/>
  <c r="G92"/>
  <c r="G88"/>
  <c r="G89"/>
  <c r="G53"/>
  <c r="H51"/>
  <c r="D112"/>
  <c r="E95"/>
  <c r="G27" i="29"/>
  <c r="F28"/>
  <c r="H48" i="9"/>
  <c r="H52"/>
  <c r="H87"/>
  <c r="H47"/>
  <c r="H49" s="1"/>
  <c r="E112" l="1"/>
  <c r="G54"/>
  <c r="I45"/>
  <c r="I87" s="1"/>
  <c r="G28" i="29"/>
  <c r="J45" i="9" s="1"/>
  <c r="K45" s="1"/>
  <c r="G90"/>
  <c r="G94"/>
  <c r="H88"/>
  <c r="H89"/>
  <c r="H92"/>
  <c r="H93"/>
  <c r="I51"/>
  <c r="H53"/>
  <c r="H54" s="1"/>
  <c r="F112" l="1"/>
  <c r="G95"/>
  <c r="I52"/>
  <c r="I53" s="1"/>
  <c r="I47"/>
  <c r="I49" s="1"/>
  <c r="I48"/>
  <c r="J47"/>
  <c r="J49" s="1"/>
  <c r="J87"/>
  <c r="J88" s="1"/>
  <c r="J48"/>
  <c r="J52"/>
  <c r="H90"/>
  <c r="H95" s="1"/>
  <c r="H94"/>
  <c r="I93"/>
  <c r="I89"/>
  <c r="I88"/>
  <c r="I92"/>
  <c r="J53"/>
  <c r="L45"/>
  <c r="K52"/>
  <c r="K53" s="1"/>
  <c r="K48"/>
  <c r="K87"/>
  <c r="K47"/>
  <c r="K49" s="1"/>
  <c r="I54" l="1"/>
  <c r="G112"/>
  <c r="J89"/>
  <c r="K54"/>
  <c r="J93"/>
  <c r="I90"/>
  <c r="J92"/>
  <c r="I94"/>
  <c r="J54"/>
  <c r="J90"/>
  <c r="K88"/>
  <c r="K93"/>
  <c r="K94" s="1"/>
  <c r="K89"/>
  <c r="L52"/>
  <c r="L53" s="1"/>
  <c r="L87"/>
  <c r="L47"/>
  <c r="M45"/>
  <c r="L48"/>
  <c r="J95" l="1"/>
  <c r="J94"/>
  <c r="I112"/>
  <c r="K90"/>
  <c r="I95"/>
  <c r="L49"/>
  <c r="L54" s="1"/>
  <c r="H112"/>
  <c r="C111"/>
  <c r="C113" s="1"/>
  <c r="D113" s="1"/>
  <c r="E113" s="1"/>
  <c r="F113" s="1"/>
  <c r="G113" s="1"/>
  <c r="L88"/>
  <c r="L93"/>
  <c r="L94" s="1"/>
  <c r="L89"/>
  <c r="M47"/>
  <c r="M87"/>
  <c r="M48"/>
  <c r="N45"/>
  <c r="M52"/>
  <c r="M53" s="1"/>
  <c r="J112" l="1"/>
  <c r="H113"/>
  <c r="I113" s="1"/>
  <c r="L90"/>
  <c r="K112" s="1"/>
  <c r="M49"/>
  <c r="M54" s="1"/>
  <c r="K95"/>
  <c r="M88"/>
  <c r="M89"/>
  <c r="M93"/>
  <c r="M94" s="1"/>
  <c r="O45"/>
  <c r="N87"/>
  <c r="N47"/>
  <c r="N48"/>
  <c r="N52"/>
  <c r="N53" s="1"/>
  <c r="J113" l="1"/>
  <c r="K113" s="1"/>
  <c r="C115"/>
  <c r="K4" i="32" s="1"/>
  <c r="L95" i="9"/>
  <c r="N49"/>
  <c r="N54" s="1"/>
  <c r="M90"/>
  <c r="P45"/>
  <c r="O48"/>
  <c r="O87"/>
  <c r="O52"/>
  <c r="O53" s="1"/>
  <c r="O47"/>
  <c r="N88"/>
  <c r="N93"/>
  <c r="N94" s="1"/>
  <c r="N89"/>
  <c r="L112" l="1"/>
  <c r="L113" s="1"/>
  <c r="O49"/>
  <c r="O54" s="1"/>
  <c r="N90"/>
  <c r="M112" s="1"/>
  <c r="M95"/>
  <c r="O88"/>
  <c r="O89"/>
  <c r="O93"/>
  <c r="O94" s="1"/>
  <c r="P87"/>
  <c r="P47"/>
  <c r="P48"/>
  <c r="Q45"/>
  <c r="P52"/>
  <c r="P53" s="1"/>
  <c r="M113" l="1"/>
  <c r="N95"/>
  <c r="P49"/>
  <c r="P54" s="1"/>
  <c r="O90"/>
  <c r="O95" s="1"/>
  <c r="Q47"/>
  <c r="Q87"/>
  <c r="Q48"/>
  <c r="R45"/>
  <c r="Q52"/>
  <c r="Q53" s="1"/>
  <c r="P88"/>
  <c r="P89"/>
  <c r="P93"/>
  <c r="P94" s="1"/>
  <c r="N112"/>
  <c r="N113" s="1"/>
  <c r="Q49" l="1"/>
  <c r="Q54" s="1"/>
  <c r="P90"/>
  <c r="P95" s="1"/>
  <c r="R52"/>
  <c r="R53" s="1"/>
  <c r="S45"/>
  <c r="R87"/>
  <c r="R47"/>
  <c r="R48"/>
  <c r="Q88"/>
  <c r="Q93"/>
  <c r="Q94" s="1"/>
  <c r="Q89"/>
  <c r="R49" l="1"/>
  <c r="R54" s="1"/>
  <c r="O112"/>
  <c r="O113" s="1"/>
  <c r="Q90"/>
  <c r="P112" s="1"/>
  <c r="R88"/>
  <c r="R89"/>
  <c r="R93"/>
  <c r="R94" s="1"/>
  <c r="T45"/>
  <c r="S47"/>
  <c r="S87"/>
  <c r="S48"/>
  <c r="S52"/>
  <c r="S53" s="1"/>
  <c r="Q95" l="1"/>
  <c r="P113"/>
  <c r="S49"/>
  <c r="S54" s="1"/>
  <c r="R90"/>
  <c r="Q112" s="1"/>
  <c r="S88"/>
  <c r="S93"/>
  <c r="S94" s="1"/>
  <c r="S89"/>
  <c r="T52"/>
  <c r="T53" s="1"/>
  <c r="T48"/>
  <c r="T87"/>
  <c r="T47"/>
  <c r="U45"/>
  <c r="Q113" l="1"/>
  <c r="R95"/>
  <c r="T49"/>
  <c r="T54" s="1"/>
  <c r="S90"/>
  <c r="R112" s="1"/>
  <c r="T88"/>
  <c r="T90" s="1"/>
  <c r="T89"/>
  <c r="T93"/>
  <c r="T94" s="1"/>
  <c r="S95"/>
  <c r="U47"/>
  <c r="U87"/>
  <c r="U48"/>
  <c r="V45"/>
  <c r="U52"/>
  <c r="U53" s="1"/>
  <c r="R113" l="1"/>
  <c r="U49"/>
  <c r="U88"/>
  <c r="U93"/>
  <c r="U94" s="1"/>
  <c r="U89"/>
  <c r="V52"/>
  <c r="V53" s="1"/>
  <c r="W45"/>
  <c r="V87"/>
  <c r="V48"/>
  <c r="V47"/>
  <c r="T95"/>
  <c r="S112"/>
  <c r="U54"/>
  <c r="S113" l="1"/>
  <c r="V49"/>
  <c r="V54" s="1"/>
  <c r="U90"/>
  <c r="U95" s="1"/>
  <c r="X45"/>
  <c r="W47"/>
  <c r="W87"/>
  <c r="W48"/>
  <c r="W52"/>
  <c r="W53" s="1"/>
  <c r="T112"/>
  <c r="T113" s="1"/>
  <c r="V88"/>
  <c r="V89"/>
  <c r="V93"/>
  <c r="V94" s="1"/>
  <c r="W49" l="1"/>
  <c r="W54" s="1"/>
  <c r="V90"/>
  <c r="V95" s="1"/>
  <c r="X52"/>
  <c r="X53" s="1"/>
  <c r="Y45"/>
  <c r="X87"/>
  <c r="X48"/>
  <c r="X47"/>
  <c r="W88"/>
  <c r="W89"/>
  <c r="W93"/>
  <c r="W94" s="1"/>
  <c r="W90" l="1"/>
  <c r="W95" s="1"/>
  <c r="U112"/>
  <c r="U113" s="1"/>
  <c r="X49"/>
  <c r="X54" s="1"/>
  <c r="Y47"/>
  <c r="Y49" s="1"/>
  <c r="Y48"/>
  <c r="Y87"/>
  <c r="Y52"/>
  <c r="Y53" s="1"/>
  <c r="X88"/>
  <c r="X93"/>
  <c r="X94" s="1"/>
  <c r="X89"/>
  <c r="V112" l="1"/>
  <c r="V113" s="1"/>
  <c r="X90"/>
  <c r="W112" s="1"/>
  <c r="Y54"/>
  <c r="Y88"/>
  <c r="Y89"/>
  <c r="D4" i="32" s="1"/>
  <c r="Y93" i="9"/>
  <c r="Y94" s="1"/>
  <c r="X95" l="1"/>
  <c r="W113"/>
  <c r="Y90"/>
  <c r="C4" i="32" s="1"/>
  <c r="D60" i="9"/>
  <c r="D61"/>
  <c r="D59"/>
  <c r="Y95" l="1"/>
  <c r="D105"/>
  <c r="I4" i="32" s="1"/>
  <c r="D102" i="9" l="1"/>
  <c r="E4" i="32" s="1"/>
  <c r="D103" i="9"/>
  <c r="G4" i="32" s="1"/>
  <c r="D104" i="9"/>
</calcChain>
</file>

<file path=xl/sharedStrings.xml><?xml version="1.0" encoding="utf-8"?>
<sst xmlns="http://schemas.openxmlformats.org/spreadsheetml/2006/main" count="1320" uniqueCount="480">
  <si>
    <t>USD</t>
  </si>
  <si>
    <t>Investment</t>
  </si>
  <si>
    <t>Distribution of budget across different interventions</t>
  </si>
  <si>
    <t>%</t>
  </si>
  <si>
    <t>Revenues  (depending on the investment)</t>
  </si>
  <si>
    <t>Avoided costs</t>
  </si>
  <si>
    <t>O&amp;M costs</t>
  </si>
  <si>
    <t>Notes</t>
  </si>
  <si>
    <t>Reference</t>
  </si>
  <si>
    <t>Unit</t>
  </si>
  <si>
    <t>Discount rate</t>
  </si>
  <si>
    <t>EMIRR</t>
  </si>
  <si>
    <t>ERR</t>
  </si>
  <si>
    <t>ENPV</t>
  </si>
  <si>
    <t>Values in USD</t>
  </si>
  <si>
    <t>Discount Rate</t>
  </si>
  <si>
    <t>NET RESOURCE FLOW (USD REAL)</t>
  </si>
  <si>
    <t>TOTAL COSTS (REAL USD)</t>
  </si>
  <si>
    <t>COSTS</t>
  </si>
  <si>
    <t>TOTAL BENEFITS (REAL USD)</t>
  </si>
  <si>
    <t>BENEFITS</t>
  </si>
  <si>
    <t>Unit Cost</t>
  </si>
  <si>
    <t>Quantity</t>
  </si>
  <si>
    <t>Unit of Measure</t>
  </si>
  <si>
    <t>MIRR</t>
  </si>
  <si>
    <t>FIRR</t>
  </si>
  <si>
    <t>FNPV</t>
  </si>
  <si>
    <t>NET CASH FLOW (USD REAL)</t>
  </si>
  <si>
    <t>TOTAL OUTFLOWS (USD REAL)</t>
  </si>
  <si>
    <t>OUTFLOWS</t>
  </si>
  <si>
    <t>TOTAL INFLOWS (USD REAL)</t>
  </si>
  <si>
    <t>INFLOWS</t>
  </si>
  <si>
    <t>Financial Viability Metrics (Individual)</t>
  </si>
  <si>
    <t>Operation and Maintenance Costs</t>
  </si>
  <si>
    <t>Capital Investment</t>
  </si>
  <si>
    <t>Incremental Economic Sustainability Metrics (Aggregate)</t>
  </si>
  <si>
    <t>2.2. Incremental Aggregate Economic Resource Flows Statement/ REAL Values</t>
  </si>
  <si>
    <t>Incremental Economic Sustainability Metrics (Individual)</t>
  </si>
  <si>
    <t xml:space="preserve">2. Incremental Economic Analysis </t>
  </si>
  <si>
    <t>Incremental Financial Viability Metrics (Aggregate)</t>
  </si>
  <si>
    <t>1.3. Incremental Aggregate Cashflow Statement -REAL Values</t>
  </si>
  <si>
    <r>
      <t>Incremental</t>
    </r>
    <r>
      <rPr>
        <b/>
        <i/>
        <sz val="10"/>
        <rFont val="Verdana"/>
        <family val="2"/>
      </rPr>
      <t xml:space="preserve"> </t>
    </r>
    <r>
      <rPr>
        <b/>
        <sz val="10"/>
        <rFont val="Verdana"/>
        <family val="2"/>
      </rPr>
      <t>Financial Viability Metrics (Individual)</t>
    </r>
  </si>
  <si>
    <t>Incremental Results</t>
  </si>
  <si>
    <t xml:space="preserve">The PIDA+ network represents the planned roads investment in SSA through 2030, plus all current roads, totaling over 2.8 million km across the continent. </t>
  </si>
  <si>
    <t>Km</t>
  </si>
  <si>
    <t>lenght of PIDA+ network in SSA (km)</t>
  </si>
  <si>
    <t>https://documents1.worldbank.org/curated/en/270671478809724744/pdf/110137-WP-PUBLIC-ECRAI-Transport-CLEAN-WEB.pdf</t>
  </si>
  <si>
    <t>Climate change impacts and adaptation</t>
  </si>
  <si>
    <t>Days/Km</t>
  </si>
  <si>
    <t>Assumption: upper value - tertiary roads (+20%)</t>
  </si>
  <si>
    <t>Assumption: mean value - secondary roads</t>
  </si>
  <si>
    <t>Assumption: low value - primary roads (-20%)</t>
  </si>
  <si>
    <t>Assumption: if 1km is distruped, then the whole road is impassible</t>
  </si>
  <si>
    <t>Distruption days per km</t>
  </si>
  <si>
    <t>Assumed</t>
  </si>
  <si>
    <t>$</t>
  </si>
  <si>
    <t>estimate of the value of a day of disruption per vehicle - Unpaved</t>
  </si>
  <si>
    <t>estimate of the value of a day of disruption per vehicle - Paved</t>
  </si>
  <si>
    <t>Vehicle/day</t>
  </si>
  <si>
    <t>Unpaved</t>
  </si>
  <si>
    <t>Paved</t>
  </si>
  <si>
    <t xml:space="preserve">Estimated Traffic Volumes (vehicles/day) - Madagascar </t>
  </si>
  <si>
    <t>See calculations</t>
  </si>
  <si>
    <t>USD/road</t>
  </si>
  <si>
    <t>Reduced damage</t>
  </si>
  <si>
    <t>Avoided costs of travel interruption in one year - tertiary road</t>
  </si>
  <si>
    <t>Avoided costs of travel interruption in one year - secondary road</t>
  </si>
  <si>
    <t>Avoided costs of travel interruption in one year - primary road</t>
  </si>
  <si>
    <t>https://openknowledge.worldbank.org/handle/10986/35752</t>
  </si>
  <si>
    <t>Social Discount rate</t>
  </si>
  <si>
    <t>Avoided costs of distruption in one year - tertiary road</t>
  </si>
  <si>
    <t>Avoided costs of distruption in one year - secondary road</t>
  </si>
  <si>
    <t>Avoided costs of distruption in one year - primary road</t>
  </si>
  <si>
    <t>Distruption days - flooding, precipitation, temperature</t>
  </si>
  <si>
    <t>Assumed share of benefits from hiring workers</t>
  </si>
  <si>
    <t>USD/km</t>
  </si>
  <si>
    <t>Income</t>
  </si>
  <si>
    <t>Jobs and income creation</t>
  </si>
  <si>
    <t>Suggeste d by Herintsoa Rakotondrabe</t>
  </si>
  <si>
    <t>USD/Km/year</t>
  </si>
  <si>
    <t>Paving or encroachment</t>
  </si>
  <si>
    <t>From EGP to USD</t>
  </si>
  <si>
    <t>The authorities’ resort to asphalt as the key paving material is one of the reasons for the resulting poor quality due to its expensive nature. The initial construction cost for asphalt amounts to 6.2 million EGP/km </t>
  </si>
  <si>
    <t>http://www.tadamun.co/practical-solutions-low-cost-maintenance-street-paving-alternatives/?lang=en</t>
  </si>
  <si>
    <t>EGP/Km</t>
  </si>
  <si>
    <t>Cost of 1km of pavement</t>
  </si>
  <si>
    <t>days</t>
  </si>
  <si>
    <t>Road in poor condition in dry season, that is, road is passable by 4×4 bus, truck or tractor, or normal car only at less than road design speed (less than 20 and 40 kilome- ters per hour for hill and Terai region, respectively)</t>
  </si>
  <si>
    <t>https://roadsforwater.org/wp-content/uploads/2019/01/GRP-CBA-Case-Study-FINAL.pdf</t>
  </si>
  <si>
    <t>value of a day labor USD 1.2/day</t>
  </si>
  <si>
    <t>Labor cost per day</t>
  </si>
  <si>
    <t>MetaMeta comment "We suggest: 104 (labourdays/km) x 1.2 (UDS/labourdays) = 124.8 USD/ km"</t>
  </si>
  <si>
    <t>Suggested by MetaMeta</t>
  </si>
  <si>
    <t>Capital cost labor</t>
  </si>
  <si>
    <t>Total Capital costs</t>
  </si>
  <si>
    <t>Road improved drainage and reinforcement during the rehabilitation</t>
  </si>
  <si>
    <t>Income/USD/Km</t>
  </si>
  <si>
    <r>
      <t xml:space="preserve">Avoided costs of travel interruption in one year - </t>
    </r>
    <r>
      <rPr>
        <sz val="11"/>
        <rFont val="Calibri"/>
        <family val="2"/>
        <scheme val="minor"/>
      </rPr>
      <t>primary and Secondary road</t>
    </r>
  </si>
  <si>
    <t>Jobs and Income creation</t>
  </si>
  <si>
    <t>2.1. Incremental 1Km Economic Resource Flow Statement/REAL Values</t>
  </si>
  <si>
    <t>Number of years for compound interest</t>
  </si>
  <si>
    <t>Total Budget</t>
  </si>
  <si>
    <t>Number of Project Years</t>
  </si>
  <si>
    <t>Budget per year</t>
  </si>
  <si>
    <t>Avoided costs of travel interruption in one year - primary &amp; secondary road</t>
  </si>
  <si>
    <t>Number of Kilometers</t>
  </si>
  <si>
    <t>SCF for Labour</t>
  </si>
  <si>
    <t>Unemployment rate in Madagascar</t>
  </si>
  <si>
    <t>Conversion Factor</t>
  </si>
  <si>
    <t xml:space="preserve">Market Value </t>
  </si>
  <si>
    <t>Subsidy</t>
  </si>
  <si>
    <t>[-]</t>
  </si>
  <si>
    <t>Transportation, Port-Market (% of CIF Price)</t>
  </si>
  <si>
    <t>[+]</t>
  </si>
  <si>
    <t>Price at Port</t>
  </si>
  <si>
    <t>Port and handling (% of CIF price)</t>
  </si>
  <si>
    <t>VAT (% of CIF and Import Duty)</t>
  </si>
  <si>
    <t>Import duty</t>
  </si>
  <si>
    <t>CIF Price</t>
  </si>
  <si>
    <t>Economic Value</t>
  </si>
  <si>
    <t>Value of FEP</t>
  </si>
  <si>
    <t>FEP</t>
  </si>
  <si>
    <t>CF for NT Services</t>
  </si>
  <si>
    <t>Financial Value</t>
  </si>
  <si>
    <t>Market Value</t>
  </si>
  <si>
    <t>Exportable output: a good that is produced by the project and is also currently exported in significant amount.</t>
  </si>
  <si>
    <t>Exportable input: a good that is purchased by the project and is also currently exported in significant amount.</t>
  </si>
  <si>
    <t>Importable output: a good that is produced by the project but is also imported in significant amount.</t>
  </si>
  <si>
    <t>Importable input: a good that is purchased by the project locally but is also imported in significant amount.</t>
  </si>
  <si>
    <t>*Classification of importable vs exportable inputs and outputs and non-tradeable inputs/outputs (based on trade data)</t>
  </si>
  <si>
    <t>assumed</t>
  </si>
  <si>
    <t>Subsidies for inputs</t>
  </si>
  <si>
    <t>calculated</t>
  </si>
  <si>
    <t>Foreign Exchange Premium (calculated)</t>
  </si>
  <si>
    <t>Transport charges</t>
  </si>
  <si>
    <t>Handling charges incl. insurance</t>
  </si>
  <si>
    <t>EOCK</t>
  </si>
  <si>
    <t>Source: https://taxsummaries.pwc.com/madagascar/corporate/other-taxes</t>
  </si>
  <si>
    <t>Standard VAT rate</t>
  </si>
  <si>
    <t>OTHER VARIABLES</t>
  </si>
  <si>
    <t>importable output</t>
  </si>
  <si>
    <t xml:space="preserve">0710.40 00 </t>
  </si>
  <si>
    <t>Maize</t>
  </si>
  <si>
    <t>Type of entry</t>
  </si>
  <si>
    <t>http://www.douanes.gov.mg/oopsovez/2023/05/Tarif-2023-MAJ-03.05.2023.pdf</t>
  </si>
  <si>
    <t>Other taxes</t>
  </si>
  <si>
    <t>VAT</t>
  </si>
  <si>
    <t>Tariff</t>
  </si>
  <si>
    <t>HS Code</t>
  </si>
  <si>
    <t>Outputs</t>
  </si>
  <si>
    <t>importable input</t>
  </si>
  <si>
    <t xml:space="preserve">6305.10 </t>
  </si>
  <si>
    <t xml:space="preserve">Packaging bags </t>
  </si>
  <si>
    <t>84.32</t>
  </si>
  <si>
    <t>Hoes</t>
  </si>
  <si>
    <t xml:space="preserve">27.10 </t>
  </si>
  <si>
    <t>Fuel</t>
  </si>
  <si>
    <t>3808.91 20</t>
  </si>
  <si>
    <t>Insecticides</t>
  </si>
  <si>
    <t>3102.10 00</t>
  </si>
  <si>
    <t>UREA</t>
  </si>
  <si>
    <t xml:space="preserve">3103.11 00 </t>
  </si>
  <si>
    <t>DAP</t>
  </si>
  <si>
    <t>Source of information</t>
  </si>
  <si>
    <t>Gasynet fee</t>
  </si>
  <si>
    <t>Inputs</t>
  </si>
  <si>
    <t>Source: WB and IMF Trade data</t>
  </si>
  <si>
    <t>Trade tax revenues</t>
  </si>
  <si>
    <t>bln USD</t>
  </si>
  <si>
    <t>Value of imports</t>
  </si>
  <si>
    <t>Value of exports</t>
  </si>
  <si>
    <t>Source: IMF/WB</t>
  </si>
  <si>
    <t>TREATED AS IMPORTABLES</t>
  </si>
  <si>
    <t>OUTPUTS-CIF BASIS</t>
  </si>
  <si>
    <t>computed</t>
  </si>
  <si>
    <t>Labour (including land preparation)</t>
  </si>
  <si>
    <t>assumed saved seeds</t>
  </si>
  <si>
    <t>Seeds</t>
  </si>
  <si>
    <t>CLASSIFICATION</t>
  </si>
  <si>
    <t>CF</t>
  </si>
  <si>
    <t>Summary of CFs</t>
  </si>
  <si>
    <t>Roads Improved drainage &amp; reinforcement during rehabilitation</t>
  </si>
  <si>
    <t>1.1. WP Cashflow Statement- 1Km, REAL Values</t>
  </si>
  <si>
    <t>1.2. Incremental 1Km Cashflow Statement -REAL Values</t>
  </si>
  <si>
    <t>Total investment</t>
  </si>
  <si>
    <t>Revenues generated</t>
  </si>
  <si>
    <t>Value of externalities</t>
  </si>
  <si>
    <t>E-NPV</t>
  </si>
  <si>
    <t>F-NPV</t>
  </si>
  <si>
    <t>E-IRR</t>
  </si>
  <si>
    <t xml:space="preserve">F-IRR </t>
  </si>
  <si>
    <t xml:space="preserve">E-Benefit to cost ratio </t>
  </si>
  <si>
    <t xml:space="preserve">F-Benefit to cost ratio </t>
  </si>
  <si>
    <t>E-Payback Period (Years)</t>
  </si>
  <si>
    <t>F-Payback Period (Years)</t>
  </si>
  <si>
    <t>Debt Service Coverage Ratio</t>
  </si>
  <si>
    <t>Not Calculated</t>
  </si>
  <si>
    <t>Payback Period Calculations</t>
  </si>
  <si>
    <t>Number of Years</t>
  </si>
  <si>
    <t>Incremental Cashflow</t>
  </si>
  <si>
    <t>Remainder</t>
  </si>
  <si>
    <t>Payback Period (Year)</t>
  </si>
  <si>
    <t>B/C Ratio</t>
  </si>
  <si>
    <t>Total IFAD</t>
  </si>
  <si>
    <t>Total GCF</t>
  </si>
  <si>
    <t>GCF</t>
  </si>
  <si>
    <t>Training, trips abroad</t>
  </si>
  <si>
    <t xml:space="preserve">Staff Cost </t>
  </si>
  <si>
    <t>Allowances - Driver</t>
  </si>
  <si>
    <t>Allowances - Officers</t>
  </si>
  <si>
    <t>DEFIS+ regions of intervention</t>
  </si>
  <si>
    <t>Details on co-financing</t>
  </si>
  <si>
    <t>Financing source</t>
  </si>
  <si>
    <t>Total</t>
  </si>
  <si>
    <t>Unit cost (USD)</t>
  </si>
  <si>
    <t>Number of people</t>
  </si>
  <si>
    <t>Unit (Year)</t>
  </si>
  <si>
    <t>Details</t>
  </si>
  <si>
    <t>Budget Account Description</t>
  </si>
  <si>
    <t>Operations and maintenance</t>
  </si>
  <si>
    <t>Driver</t>
  </si>
  <si>
    <t>Salaries and allowances</t>
  </si>
  <si>
    <t xml:space="preserve">Subtotal </t>
  </si>
  <si>
    <t xml:space="preserve">Institutional Support and Policy Engagement (Chamber of Agriculture; Chamber of Commerce; Value chain platforms, Agriculture Development Fund, Pest Control Response) </t>
  </si>
  <si>
    <t>USD 10 607 062 already spent on policy dialogues, agriculture statistics, pest management, early warning and agroclimate services, equipment and capacity building, salaries and programme coordination</t>
  </si>
  <si>
    <t>IFAD</t>
  </si>
  <si>
    <t xml:space="preserve">Staff Cost for programme's coordination </t>
  </si>
  <si>
    <t>Office equipment - Office equipment; Acquisition of photocopier; Acquisition of computer hardware; Purchase of telephone; Purchase of technical equipment. 1 NAS Server: 5950  USD 6 technical equipment: 2550 USD/piece, 2 agricultural drones:7200 USD/piece, 4computers: 3000 USD/piece, 1 Screen:1300 USD, 8 GPS: 650 USD/piece</t>
  </si>
  <si>
    <t>Equipment</t>
  </si>
  <si>
    <t xml:space="preserve">Professional/ Contractual Services </t>
  </si>
  <si>
    <t>Local consultants for communication - 2 regions*6,666 USD/year, local consultants for diagnosis of key messages, and communication tools, yearly evaluation and improvement of key messages.</t>
  </si>
  <si>
    <t>Local consultants</t>
  </si>
  <si>
    <t xml:space="preserve">Professional/ Contractual Services for vehicle pick-up - engagement of a service provider for the purchase of vehicles, which includes all freight forwarding and customs clearance activities. </t>
  </si>
  <si>
    <t>Unit (Number)</t>
  </si>
  <si>
    <t>Project coordination and management</t>
  </si>
  <si>
    <t xml:space="preserve">Project management </t>
  </si>
  <si>
    <t>All DEFIS + zones</t>
  </si>
  <si>
    <t>Training, workshops, and conference</t>
  </si>
  <si>
    <t>Unit (Studies)</t>
  </si>
  <si>
    <t>Activity 3.1.3. Capitalization of best practices and knowledge on food and nutrition security measures</t>
  </si>
  <si>
    <t xml:space="preserve">Awareness raising and training of beneficiaries on effects of cimate change. A capacity building plan will be developed, including independent monitoring of the effectiveness of trainings. </t>
  </si>
  <si>
    <t>Travel</t>
  </si>
  <si>
    <t>Unit (Exchange Visits/Training)</t>
  </si>
  <si>
    <t xml:space="preserve">Activity 3.1.2. Exchange visits on the adaptation of food systems to climate change </t>
  </si>
  <si>
    <t>USD 642 435 already spent on baseline studies, impact evaluation studies, thematic studies, geographic information systems, capacity building, communication and knowledge products</t>
  </si>
  <si>
    <t xml:space="preserve">Professional / Contractual Services </t>
  </si>
  <si>
    <t>Unit (Lumpum)</t>
  </si>
  <si>
    <t>USD 275 492 already spent on nutrition education</t>
  </si>
  <si>
    <t>Contractual Services with profesional for nutritional education. Training is provided at nutrition education centers for the benefit of groups and communities. The courses cover culinary education, hygiene, food diversification, food preservation and processing.</t>
  </si>
  <si>
    <t>Unit (Family Farmers)</t>
  </si>
  <si>
    <t>Engage national consultant(s) for the training of the beneficiaries per IFAD procurement procedures.</t>
  </si>
  <si>
    <t xml:space="preserve">Capacity building on integrated watershed management -includes refreshements and transportation costs for the particpants. Each session will target 30 participants. A capacity building plan will be developed, including independent monitoring of the effectiveness of trainings. Cost per beneficiary 
- Support for participants in capacity building in integrated watershed management: 1,070 USD
- Logistics, meals: 160 USD
- Capacity-building plan and independent monitoring of training effectiveness: 310 USD </t>
  </si>
  <si>
    <t>Unit (Session)</t>
  </si>
  <si>
    <t xml:space="preserve">Training on climate change impacts and measures: building awareness, information, training sessions, monitoring of the appropriation of knowledge. A capacity building plan will be developed, including independent monitoring of the effectiveness of trainings. Cost breakdown as follows: 
i) Awareness-raising, information: 20 USD / beneficiary
ii) Training sessions, follow-up of knowledge appropriation: 150 USD  
iii) Capacity-building plan including independent monitoring of training effectiveness: 35 USD
The expected number of beneficiaries is 2,000. </t>
  </si>
  <si>
    <t>Unit (Actors)</t>
  </si>
  <si>
    <t>Activity 3.1.1. Training rural development actors on climate change and food production systems for enhanced nutrition</t>
  </si>
  <si>
    <t>Output 3.1. Knowledge on climate change and food security generated and shared</t>
  </si>
  <si>
    <t>Outcome 3. Improved food and nutrition security</t>
  </si>
  <si>
    <t xml:space="preserve">Training of actors and professionals on construction standards related to climate change - includes logistical costs for venues, refreshments, lodging where required and certification. A capacity building plan will be developed, including independent monitoring of the effectiveness of trainings.  </t>
  </si>
  <si>
    <t>Activity 2.2.1. Training on construction standards related to climate change</t>
  </si>
  <si>
    <t>Output 2.2. Improved capacity to build and maintain rural infrastructure</t>
  </si>
  <si>
    <t>USD 744 754 already spent on technical studies and monitoring</t>
  </si>
  <si>
    <t>USD 4 016 099 already spent on storage, processing and road rehabilitation</t>
  </si>
  <si>
    <t xml:space="preserve">Small processing centers (USD 1,088) or storage infrastructures construction (USD 1,783) and roads rehabilitation works (USD 17,000) </t>
  </si>
  <si>
    <t xml:space="preserve">Constuction cost </t>
  </si>
  <si>
    <t xml:space="preserve">Engage consultant for study, control and monitoring - These are the costs of detailed design studies for roadside ovrages for drainage and surface water collection and reclamation. The cost corresponds to the average cost of designing the works (calculations, drawings). </t>
  </si>
  <si>
    <t>Environmental and social impact studies</t>
  </si>
  <si>
    <t>Runoff water collection structures</t>
  </si>
  <si>
    <t xml:space="preserve">5 Water Level Dip Meters </t>
  </si>
  <si>
    <t>Sinking observation wells</t>
  </si>
  <si>
    <t xml:space="preserve">Construction of 50 farm ponds </t>
  </si>
  <si>
    <t>Construction of 50 check dams</t>
  </si>
  <si>
    <t xml:space="preserve">Construction of ridge ditches for improved drainage </t>
  </si>
  <si>
    <t xml:space="preserve">Construction cost </t>
  </si>
  <si>
    <t>Unit (Km)</t>
  </si>
  <si>
    <t>Activity 2.1.1. Reinforcement of unpaved rural access roads to reduce climate change impacts and water collection along these roadways for agricultural use</t>
  </si>
  <si>
    <t>Output 2.1. Reinforced rural access roads</t>
  </si>
  <si>
    <t>Outcome 2. Increased income generation through improved market accessibility</t>
  </si>
  <si>
    <t>USD 683 943 already spent on seed and material supply, M&amp;E and business plans</t>
  </si>
  <si>
    <t>Contractual services with the producer organizations specialised in seed production</t>
  </si>
  <si>
    <t>Professional / Contractual Services for quality seeds and planting material</t>
  </si>
  <si>
    <t>USD 3 540 313 already spent on equipping producer organizations specialised in seed production</t>
  </si>
  <si>
    <t>Equipment of producer organizations specialised in seed production</t>
  </si>
  <si>
    <t>Equipment for quality seeds and planting material</t>
  </si>
  <si>
    <t>Equipment of producer organizations specialised in seed production. These are batches of agricultural inputs and equipment provided to seed-producing farmers
- Fertilizers: 36 000 USD
- Basic seeds: 18 000 USD
- Materials: cart, harrow, weeder, cultivator, plough: 128 380 USD</t>
  </si>
  <si>
    <t xml:space="preserve">Professional / Contractual Services for impact assessment </t>
  </si>
  <si>
    <t>Convention with Research centers (Vatovavy, Haute Matsiatra)</t>
  </si>
  <si>
    <t>Professional / Contractual Services for seed production centres</t>
  </si>
  <si>
    <t>Equipment for seed production centres</t>
  </si>
  <si>
    <t>Unit (Lumpsum)</t>
  </si>
  <si>
    <t xml:space="preserve">Professional / Contractual Services for climate-resilient seeds and planting material </t>
  </si>
  <si>
    <t>Unit (Contracts)</t>
  </si>
  <si>
    <t xml:space="preserve">Activity 1.2.4. Promotion and dissemination of sustainable home technologies and social initiatives </t>
  </si>
  <si>
    <t>Professional / Contractual Services for REEP</t>
  </si>
  <si>
    <t xml:space="preserve">Awareness building, establishment of farmer field schools (FFS), training, monitoring. The unit costs of USD 120 includes logistical costs for organising the sessions (USD 70) and equipment and matrials provided for the training (USD 50). Each FFS has approximately 25 members. A capacity building plan will be developed, including independent monitoring of the effectiveness of trainings. </t>
  </si>
  <si>
    <t xml:space="preserve">Training, workshops, and conference on REEP </t>
  </si>
  <si>
    <t>Ihorombe, Haute Matsiatra</t>
  </si>
  <si>
    <t>REEPS construction - 50 units are needed, with a unit cost of and an average of 100 m3 of REEPS, and a budget of 23500 USD per unit.</t>
  </si>
  <si>
    <t>Construction cost for REEP</t>
  </si>
  <si>
    <t>Activity 1.2.3. Promotion and dissemination of meteorological and climate smart agriculture practices</t>
  </si>
  <si>
    <t>Parternship with SRM and DRAEP: support for processing. A capacity building plan will be developed, including independent monitoring of the effectiveness of trainings. Breakdown of unit cost:
(i) processing: 44,000 USD
(ii) capacity-building plan: 22,000 USD
(iii) independent monitoring of training effectiveness 22,000 USD</t>
  </si>
  <si>
    <t>Activity 1.2.2. Capacity building of decentralised government (SRM &amp; DRAEP)</t>
  </si>
  <si>
    <t>Unit (Stations)</t>
  </si>
  <si>
    <t>Activity 1.2.1. Installation of automated agro-meteorological stations and development of flood and drought monitoring and forecasting system</t>
  </si>
  <si>
    <t xml:space="preserve">Output 1.2. Enhanced agro-climatic information systems, new technologies and initiatives </t>
  </si>
  <si>
    <t>Vatovavy, Amoron'i Mania, Fianarantsoa</t>
  </si>
  <si>
    <t>Activity 1.1.4. Construction of climate smart water tanks for drip-irrigation and for small livestock</t>
  </si>
  <si>
    <t>All DEFIS+  zones</t>
  </si>
  <si>
    <t xml:space="preserve">Capacity building of the Users Associations members to develop sub-watershed conservation and management plans. Each session will have 25 to 30 participants. A capacity building plan will be developed, including independent monitoring of the effectiveness of trainings. </t>
  </si>
  <si>
    <t>Activity 1.1.3. Strengthening capacities of Water Users Associations to manage water and apply sustainable water management practices</t>
  </si>
  <si>
    <t>Engage consultant for training,  monitoring, and capacity building plan. Breakdown of the costs is as follows:  Fees for four resource persons 5800 USD Logistics and operating costs 1286 USD</t>
  </si>
  <si>
    <t xml:space="preserve">Training on NIHYCRI standards and protection of watersheds - includes venue hiring, refreshements and transportation costs for the particpants. Each session will target 25 participants. Breakdown of costs: 333 USD Room and meals; 150 USD Transportation; 350 USD teaching aids and materials and 2500 USD participant support: 3 Days of training, 4 days per diem for 29 Dollars per person. </t>
  </si>
  <si>
    <t>Unit (Sessions)</t>
  </si>
  <si>
    <t>Terraces only in Amoron'i Mania, Fianarantsoa, Vatovavy, but all landscape restoration and reforestation activities in all DEFIS+ zones. The difference will be in the species used according to the agro-ecological zones.</t>
  </si>
  <si>
    <t>Unit (Ha)</t>
  </si>
  <si>
    <t>Activity 1.1.2. Sustainable sub-watersheds (adjacent to irrigated schemes) management and restoration of landscape</t>
  </si>
  <si>
    <t>USD 1 666 669 already spent on technical studies</t>
  </si>
  <si>
    <t xml:space="preserve">Study, control and surveillance </t>
  </si>
  <si>
    <t>USD 8 336 696 already spent on rehabilitation works on irrigated perimiters</t>
  </si>
  <si>
    <t>Irrigated permiters rehabilitation or construction</t>
  </si>
  <si>
    <t>Professional / Contractual Services*</t>
  </si>
  <si>
    <t xml:space="preserve">Maintenance equipment and replacement materials </t>
  </si>
  <si>
    <t>1b</t>
  </si>
  <si>
    <t>Installation of de-silting systems</t>
  </si>
  <si>
    <t xml:space="preserve">Construction of irrigation channels using improved standards and water retention works </t>
  </si>
  <si>
    <t xml:space="preserve">Especially in the regions of Vatovavy, Fitovinany and Atsimo Atsinanana (south-east); only 1 district in the centre. </t>
  </si>
  <si>
    <t>Improve irrigation drainage networks</t>
  </si>
  <si>
    <t>Construction cost</t>
  </si>
  <si>
    <t>1a</t>
  </si>
  <si>
    <t>Activity 1.1.1. Protection of irrigation schemes against climate change impacts</t>
  </si>
  <si>
    <t>Output 1.1. Improved water management for sustainable agriculture</t>
  </si>
  <si>
    <t>Outcome 1. Strengthened climate resilience of agricultural production systems</t>
  </si>
  <si>
    <t>Detailed Budget Notes: (important - prepared in conjunction with Budget Plan)</t>
  </si>
  <si>
    <t>Detailed Budget Notes</t>
  </si>
  <si>
    <t xml:space="preserve">PMU - PMC percentage applies on the sub-total of components/activities. </t>
  </si>
  <si>
    <t>PMU</t>
  </si>
  <si>
    <t xml:space="preserve">Office Suuplies - Include office supplies' name, quantity, and unit cost in budget notes, and how the unit cost is arrived. </t>
  </si>
  <si>
    <t>Office Supplies</t>
  </si>
  <si>
    <t xml:space="preserve">Materials &amp; Goods - Include material and goods specification, name, quantity, and unit cost in budget notes, and how the unit cost is arrived. </t>
  </si>
  <si>
    <t>Materials &amp; Goods</t>
  </si>
  <si>
    <t>Professional Service - Please provide the details of the professional services needed, purpose of the services, and also the basis of the cost estimates.</t>
  </si>
  <si>
    <t>Professional Services</t>
  </si>
  <si>
    <t>Travel - Breakdown travel cost information by number of people and cost per person and separating DSA where applicable. Also please provide the reason why international travel is needed.</t>
  </si>
  <si>
    <t>Workshop - Include the number of workshops anticipated, number of people attending, number of days, target group, cost per work workshop, venue cost, etc.</t>
  </si>
  <si>
    <t>Workshop</t>
  </si>
  <si>
    <t xml:space="preserve">Equipment - Include machinery specification, equipment name, quantity, and unit cost in budget notes and how the unit cost is arrived. </t>
  </si>
  <si>
    <t>Consultant - To detail unit cost and duration of consultant(s) work and position</t>
  </si>
  <si>
    <t>Consultant</t>
  </si>
  <si>
    <t>Note</t>
  </si>
  <si>
    <t>Grant</t>
  </si>
  <si>
    <t>Loan</t>
  </si>
  <si>
    <t>Total year 5 and 6</t>
  </si>
  <si>
    <t>Total year 3 and 4</t>
  </si>
  <si>
    <t>Total year 1 and 2</t>
  </si>
  <si>
    <t>Difference/new co-financing total</t>
  </si>
  <si>
    <t>Amount already spent under DEFIS</t>
  </si>
  <si>
    <t>Previous total IFAD co-financing</t>
  </si>
  <si>
    <t>Check with old figures</t>
  </si>
  <si>
    <t>IFAD Grant</t>
  </si>
  <si>
    <t>IFAD Loan</t>
  </si>
  <si>
    <t>GCF Grant</t>
  </si>
  <si>
    <t>GCF Loan</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</si>
  <si>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</si>
  <si>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Total Amount AE</t>
  </si>
  <si>
    <t>Total Amount GCF</t>
  </si>
  <si>
    <t>Total Amount</t>
  </si>
  <si>
    <t xml:space="preserve">Total PM Component </t>
  </si>
  <si>
    <t>IFAD sub-total</t>
  </si>
  <si>
    <t>GCF sub-total</t>
  </si>
  <si>
    <t>Year</t>
  </si>
  <si>
    <t>Supervision cost by NDA</t>
  </si>
  <si>
    <t>Supervision costs by Government</t>
  </si>
  <si>
    <t>Vehicle operations and maintenance</t>
  </si>
  <si>
    <t>Accredited Entity</t>
  </si>
  <si>
    <t>Programme's coordination</t>
  </si>
  <si>
    <t>Lumpsum</t>
  </si>
  <si>
    <t>Office equipment</t>
  </si>
  <si>
    <t>Communication</t>
  </si>
  <si>
    <t>Internal Monitoring and evaluation</t>
  </si>
  <si>
    <t>Number</t>
  </si>
  <si>
    <t>Vehicle pick-up</t>
  </si>
  <si>
    <t>Project Management Component</t>
  </si>
  <si>
    <t>Total Outcome 3</t>
  </si>
  <si>
    <t>Total output 3.1</t>
  </si>
  <si>
    <t>Studies Shared</t>
  </si>
  <si>
    <t xml:space="preserve">Activity 3.1.3. Capitalization of best practices and knowledge on food and nutrition security measures
</t>
  </si>
  <si>
    <t>Exchange visits</t>
  </si>
  <si>
    <t>Activity 3.1.2. Exchange visits on climate resilient food systems</t>
  </si>
  <si>
    <t>Family Farmers</t>
  </si>
  <si>
    <t>Sessions</t>
  </si>
  <si>
    <t>Actors</t>
  </si>
  <si>
    <t>Total Outcome 2</t>
  </si>
  <si>
    <t>Total output 2.2</t>
  </si>
  <si>
    <t>Total output 2.1</t>
  </si>
  <si>
    <t>Total Outcome 1</t>
  </si>
  <si>
    <t>Total output 1.2</t>
  </si>
  <si>
    <t xml:space="preserve">Professional/ Contractual Services for impact assessment </t>
  </si>
  <si>
    <t>Contracts</t>
  </si>
  <si>
    <t>Farmers</t>
  </si>
  <si>
    <t>Stations</t>
  </si>
  <si>
    <t>Total output 1.1</t>
  </si>
  <si>
    <t>Ha</t>
  </si>
  <si>
    <t>Lot</t>
  </si>
  <si>
    <t xml:space="preserve">Equipment </t>
  </si>
  <si>
    <t xml:space="preserve">Activity 1.1.1. Protection of irrigation schemes against climate change impacts
</t>
  </si>
  <si>
    <t>GCF Grant Total
 (USD)</t>
  </si>
  <si>
    <t>GCF Loan Total
 (USD)</t>
  </si>
  <si>
    <t>Unit Cost (USD)</t>
  </si>
  <si>
    <t>Notes and Assumptions</t>
  </si>
  <si>
    <t xml:space="preserve">Budget Account Description </t>
  </si>
  <si>
    <t>Financial Instrument  (Loan/Grant etc)</t>
  </si>
  <si>
    <t>Financing Source</t>
  </si>
  <si>
    <t>Activity</t>
  </si>
  <si>
    <t>Output</t>
  </si>
  <si>
    <t>Outcome</t>
  </si>
  <si>
    <t>Total number of Km</t>
  </si>
  <si>
    <t>Cummulative number of Km</t>
  </si>
  <si>
    <t>2032-2042.</t>
  </si>
  <si>
    <t>Ridge ditches, Paving &amp; encroachment and Storage infra.</t>
  </si>
  <si>
    <t>Landscape Restoration</t>
  </si>
  <si>
    <t>Small tanks for irrigation</t>
  </si>
  <si>
    <t>Irrigated perimeters rehabilitation</t>
  </si>
  <si>
    <t>Drainage network, De-eilting system and Irrigation scheme</t>
  </si>
  <si>
    <t>Traning and trip abroad</t>
  </si>
  <si>
    <t>Project training</t>
  </si>
  <si>
    <t>Gender and Social inclusion Officer</t>
  </si>
  <si>
    <t>Regional Environment and Climate Officer</t>
  </si>
  <si>
    <t>Monitoring and Evaluation Officer</t>
  </si>
  <si>
    <t>GCF Monitoring and Evaluation Officer and KM</t>
  </si>
  <si>
    <t>GCF Environment and Climate Officer</t>
  </si>
  <si>
    <t>Activity 1.2.3. Promotion and dissemination of meteorological and Climate Smart Agriculture practices</t>
  </si>
  <si>
    <t>IFAD Grant Total (USD)</t>
  </si>
  <si>
    <t>IFAD Loan Total (USD)</t>
  </si>
  <si>
    <t>Total (USD)</t>
  </si>
  <si>
    <t>Year 6 (USD)</t>
  </si>
  <si>
    <t>Year 5 (USD)</t>
  </si>
  <si>
    <t>Year 4 (USD)</t>
  </si>
  <si>
    <t>Year 3 (USD)</t>
  </si>
  <si>
    <t>Year 2 (USD)</t>
  </si>
  <si>
    <t>Year 1 (USD)</t>
  </si>
  <si>
    <t>Total Cost (USD)</t>
  </si>
  <si>
    <t>Technology transfer activities</t>
  </si>
  <si>
    <t>Total capacity building activities</t>
  </si>
  <si>
    <t>Capacity building activities</t>
  </si>
  <si>
    <t>Abroad</t>
  </si>
  <si>
    <t>National Level</t>
  </si>
  <si>
    <t>NDA operating cost  - This includes the budget for: 
(i) purchase of computers
(ii) office equipment 
(iii) fuel budget for the operation of missions 
(iv) car maintenance 
(v) communication 
(vi) per diems and 
(vii) attending international conferences (which depends on the title of conference, position of attendee in project, venue and cost) and dialogues on climate</t>
  </si>
  <si>
    <t>Supervision costs by Government - Supervision by the administration, steering committees, supervision by the Directorate of Rural Engeeniring for rehabilitation works, supervision by the Regional Directorates for Agriculture and Livestock, the Direction des protection des végétaux, the Service de l'Environnement du Ministère de l'Agriculture which issues environmental authorizations for rehabilitation work on irrigated perimeters that have been the subject of Elaboration du Programme d'Engagement Environnemental, they carry out the environmental monitoring of these works. Monitoring by other regional ministerial technical departments: the Regional Department of the Environment and Sustainable Development, the Regional Technical Department of Public Works, the Regional Technical Department of Agriculture and Livestock. It will include the Government, the Ministry of Agriculture and Livestock the National Office of Environment to do monitoring of the activities, the initial global amount is 800000 USD and the final proposed budget is 679 998 USD</t>
  </si>
  <si>
    <t>Office and Vehicle operations and maintenance - This is the cost of running and repairing 2 vehicles, the same cost as for the DEFIS COSTAB.
Operation: 9000 USD for 1 vehicle because the AND budget includes car maintenace for vehicles
Miscellaneous repairs: 3000 USD/year*2 Vehicle
Office maintenance: 8782  USD
Operation: 8,000 USD/year*2 vehicles
Miscellaneous repairs: 3,000 USD/Year*2 vehicle</t>
  </si>
  <si>
    <t>DEFIS + regions of intervention</t>
  </si>
  <si>
    <t>National level</t>
  </si>
  <si>
    <t>Haute Matsiatra, Vatovavy</t>
  </si>
  <si>
    <t>Regional Environment and Climate Officer (one person for two adjacent regions) providing M&amp;E assistance</t>
  </si>
  <si>
    <t>GCF Environment and Climate Officer (for both DEFIS and DEFIS+)</t>
  </si>
  <si>
    <t>All DEFIS zones (DEFIS+) and Anosy, Androy, Atsimo Andrefana</t>
  </si>
  <si>
    <t>Professional/ Contractual Services for communication. Budget broken down as follows:
 Communication tools for visibility: 10,000 USD
- Dissemination of communication for visibility: 10,560 USD (production, mutliplication and communication)
- Implementation of communication for development: 11,065 USD</t>
  </si>
  <si>
    <t>Sub-total</t>
  </si>
  <si>
    <t>Impact study : 400,000 USD</t>
  </si>
  <si>
    <t>Professional/ Contractual Services for monitoring and evaluation: 
Baseline survey/60,000 USD
Mid-term survey/60,000 USD</t>
  </si>
  <si>
    <t xml:space="preserve">Dissemination of the best practises by training. A capacity building plan will be developed, including independent monitoring of the effectiveness of trainings. This activity will be carried out in 2 regions. Hiring consultants to draw up the capacity-building plan for 2 regions: 10,000 USD, Carrying out the training courses: 2*11,514.5 USD (Participant allowances, transport, room hire and lunch). </t>
  </si>
  <si>
    <t>KM products and events</t>
  </si>
  <si>
    <t>Identification of best practises, organising exchange visits, promoting pair mentoring. A capacity building plan will be developed, including independent monitoring of the effectiveness of trainings. Breakdown of costs: travel costs USD 3000 for 25 farmers, subsistence USD 220 each, accomodation USD 250 each (3 nights).</t>
  </si>
  <si>
    <t xml:space="preserve">Capacity building plan. </t>
  </si>
  <si>
    <t>Engage consultant for study, control and monitoring.</t>
  </si>
  <si>
    <t>Engage consultant for awareness building, information, training sessions on water-efficient technologies (micro irrigation system, gravity water storage), renewable energy and energy-efficient technologies (solar pump, biogas and improve stoves). 60 man months for three consultants.</t>
  </si>
  <si>
    <t>Put in place pilot models systems of new technologies such as 250 solar pumps at USD 880, 250 Bio gas at USD 700, 1000 improved stoves at 40 USD, 500 solar dryers at USD 440 and 500 solar mills at USD 725.</t>
  </si>
  <si>
    <t>Professional / Contractual Services for supervision of REEPs construction and facilitation of FFS through a service provider contract. Breakdown of costs is as follows: USD 170 facilitator honorarium; USD 49 facilitator transportation and subsistence.</t>
  </si>
  <si>
    <t>Contractual Services with the center for basic seeds production.</t>
  </si>
  <si>
    <t>Improvement and equipment of seed production center - These are batches of agricultural inputs and equipment allocated to the seed centers. Cost Breakdown as follows:  2 minitractor with trailer at USD32000, 200 pallet at USD16.3 scales at USD350,  office equipement such as 1 printer at 4000 USD ,  2 computers  3000 USD IT consumable at USD 5000, bags 0,3 USD of 5000 pieces, agricultural inputs: 15250 USD.</t>
  </si>
  <si>
    <t>Professional/ Contractual Services for Operating costs of research centers under annual contracts with research organizations: 11 contracts.
This includes: production of seeds and other plant materials for agroforestry.</t>
  </si>
  <si>
    <t>Distribution of agrometeorological data. Breakdown of costs is as follows: Training sessions in use of agro-met infoormation for farmers in each region where station is installed USD 30,000 Production of materials e.g. bulletins USD 20,000 Braodcasting information through various media USD 82,115.</t>
  </si>
  <si>
    <t>Acquisition and installation of automated agro-meteorological stations. Breakdown of costs is as follows: automated agro-met station USD25,000 Installation and operational costs USD 5000.</t>
  </si>
  <si>
    <t>Contractual services for technical feasibility study and training for farmers.</t>
  </si>
  <si>
    <t>Put in place site pilot for water tanks. Breakdown of costs is as follows: 10,000L tanks and drip irrigation equipment USD 15070; Works for installation and livestock troughs USD 8,000.</t>
  </si>
  <si>
    <t>Contractual Services with professional for training, capitalisation.</t>
  </si>
  <si>
    <t>Exchange visits among waters Users Associations members.</t>
  </si>
  <si>
    <t>Engage consultant for technical study and feasibility, control and monitoring. Breakdown of unit cost as follows: (i) 50 USD/per ha for study; (ii) 43 USD for control and monitoring.</t>
  </si>
  <si>
    <t>Landscape restoration and reforestation and anti erosion systems, e.g.  building of benches and terraces, contour bunds and gully plugs etc. Nurseries will be established for indigenous tree species. Breakdown of the unit cost is as follows: (i) restoration and reforestation USD 150/ha antierosion systems USD 379/ha.</t>
  </si>
  <si>
    <t xml:space="preserve">Engage national consultant per IFAD procurement procedures for technical study, control and monitoring in relation to the rehabilitation of irrigated perimeters to evaluate the surface area. The average duration of the study is 3 to 4 months. 
Engage national personnel on procurement and accounting (USD 180,000). </t>
  </si>
  <si>
    <t>Studies (25 Surveys) to put in place innovative systems for target of 15,000 Ha. Each study has an average duration of 3 to 4 months.</t>
  </si>
</sst>
</file>

<file path=xl/styles.xml><?xml version="1.0" encoding="utf-8"?>
<styleSheet xmlns="http://schemas.openxmlformats.org/spreadsheetml/2006/main">
  <numFmts count="25">
    <numFmt numFmtId="41" formatCode="_-* #,##0_-;\-* #,##0_-;_-* &quot;-&quot;_-;_-@_-"/>
    <numFmt numFmtId="44" formatCode="_-&quot;USh&quot;* #,##0.00_-;\-&quot;USh&quot;* #,##0.00_-;_-&quot;USh&quot;* &quot;-&quot;??_-;_-@_-"/>
    <numFmt numFmtId="43" formatCode="_-* #,##0.00_-;\-* #,##0.00_-;_-* &quot;-&quot;??_-;_-@_-"/>
    <numFmt numFmtId="164" formatCode="_(* #,##0.00_);_(* \(#,##0.00\);_(* &quot;-&quot;??_);_(@_)"/>
    <numFmt numFmtId="165" formatCode="_(* #,##0_);_(* \(#,##0\);_(* &quot;-&quot;??_);_(@_)"/>
    <numFmt numFmtId="166" formatCode="0.0%"/>
    <numFmt numFmtId="167" formatCode="_-* #,##0.0_-;\-* #,##0.0_-;_-* &quot;-&quot;_-;_-@_-"/>
    <numFmt numFmtId="168" formatCode="0.000"/>
    <numFmt numFmtId="169" formatCode="0.0"/>
    <numFmt numFmtId="170" formatCode="0.0000"/>
    <numFmt numFmtId="171" formatCode="_-&quot;£&quot;* #,##0.00_-;\-&quot;£&quot;* #,##0.00_-;_-&quot;£&quot;* &quot;-&quot;??_-;_-@_-"/>
    <numFmt numFmtId="172" formatCode="_([$€]* #,##0.00_);_([$€]* \(#,##0.00\);_([$€]* &quot;-&quot;??_);_(@_)"/>
    <numFmt numFmtId="173" formatCode="_-* #,##0.00\ _€_-;\-* #,##0.00\ _€_-;_-* &quot;-&quot;??\ _€_-;_-@_-"/>
    <numFmt numFmtId="174" formatCode="_-&quot;L.&quot;\ * #,##0_-;\-&quot;L.&quot;\ * #,##0_-;_-&quot;L.&quot;\ * &quot;-&quot;_-;_-@_-"/>
    <numFmt numFmtId="175" formatCode="_(&quot;$&quot;* #,##0_);_(&quot;$&quot;* \(#,##0\);_(&quot;$&quot;* &quot;-&quot;??_);_(@_)"/>
    <numFmt numFmtId="176" formatCode="_-* #,##0.00_-;\-* #,##0.00_-;_-* &quot;-&quot;_-;_-@_-"/>
    <numFmt numFmtId="177" formatCode="_(* #,##0_);_(* \(#,##0\);_(* &quot;-&quot;_);_(@_)"/>
    <numFmt numFmtId="178" formatCode="_(* #,##0.0000000_);_(* \(#,##0.0000000\);_(* &quot;-&quot;_);_(@_)"/>
    <numFmt numFmtId="179" formatCode="&quot;$&quot;#,##0"/>
    <numFmt numFmtId="180" formatCode="_-* #,##0\ _A_r_-;\-* #,##0\ _A_r_-;_-* &quot;-&quot;\ _A_r_-;_-@_-"/>
    <numFmt numFmtId="181" formatCode="&quot;$&quot;#,##0.00"/>
    <numFmt numFmtId="182" formatCode="_-* #,##0\ _€_-;\-* #,##0\ _€_-;_-* &quot;-&quot;??\ _€_-;_-@_-"/>
    <numFmt numFmtId="183" formatCode="_-* #,##0.000000000\ _€_-;\-* #,##0.000000000\ _€_-;_-* &quot;-&quot;??\ _€_-;_-@_-"/>
    <numFmt numFmtId="184" formatCode="_-* #,##0.0000\ _€_-;\-* #,##0.0000\ _€_-;_-* &quot;-&quot;??\ _€_-;_-@_-"/>
    <numFmt numFmtId="185" formatCode="_-* #,##0.00000\ _€_-;\-* #,##0.00000\ _€_-;_-* &quot;-&quot;??\ _€_-;_-@_-"/>
  </numFmts>
  <fonts count="81">
    <font>
      <sz val="11"/>
      <color theme="1"/>
      <name val="Calibri"/>
      <family val="2"/>
      <charset val="1"/>
      <scheme val="minor"/>
    </font>
    <font>
      <sz val="11"/>
      <color theme="1"/>
      <name val="Calibri"/>
      <family val="2"/>
      <scheme val="minor"/>
    </font>
    <font>
      <b/>
      <sz val="11"/>
      <color theme="1"/>
      <name val="Calibri"/>
      <family val="2"/>
      <scheme val="minor"/>
    </font>
    <font>
      <b/>
      <sz val="1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b/>
      <sz val="10"/>
      <color theme="0"/>
      <name val="Calibri"/>
      <family val="2"/>
      <scheme val="minor"/>
    </font>
    <font>
      <b/>
      <sz val="18"/>
      <name val="Arial"/>
      <family val="2"/>
    </font>
    <font>
      <sz val="11"/>
      <name val="Verdana"/>
      <family val="2"/>
    </font>
    <font>
      <sz val="10"/>
      <name val="Verdana"/>
      <family val="2"/>
    </font>
    <font>
      <i/>
      <sz val="10"/>
      <name val="Verdana"/>
      <family val="2"/>
    </font>
    <font>
      <b/>
      <sz val="10"/>
      <name val="Verdana"/>
      <family val="2"/>
    </font>
    <font>
      <b/>
      <sz val="12"/>
      <name val="Verdana"/>
      <family val="2"/>
    </font>
    <font>
      <b/>
      <sz val="14"/>
      <name val="Verdana"/>
      <family val="2"/>
    </font>
    <font>
      <b/>
      <i/>
      <sz val="10"/>
      <name val="Verdana"/>
      <family val="2"/>
    </font>
    <font>
      <sz val="11"/>
      <color theme="1"/>
      <name val="Calibri"/>
      <family val="2"/>
      <charset val="1"/>
      <scheme val="minor"/>
    </font>
    <font>
      <sz val="11"/>
      <color theme="1"/>
      <name val="Calibri"/>
      <family val="2"/>
    </font>
    <font>
      <sz val="11"/>
      <name val="Calibri"/>
      <family val="2"/>
    </font>
    <font>
      <sz val="11"/>
      <color rgb="FFFF0000"/>
      <name val="Calibri"/>
      <family val="2"/>
    </font>
    <font>
      <sz val="11"/>
      <name val="Calibri"/>
      <family val="2"/>
      <scheme val="minor"/>
    </font>
    <font>
      <sz val="11"/>
      <color rgb="FF9C0006"/>
      <name val="Calibri"/>
      <family val="2"/>
      <charset val="1"/>
      <scheme val="minor"/>
    </font>
    <font>
      <sz val="10"/>
      <color theme="1"/>
      <name val="Verdana"/>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b/>
      <sz val="11"/>
      <color indexed="9"/>
      <name val="Calibri"/>
      <family val="2"/>
    </font>
    <font>
      <sz val="10"/>
      <color indexed="8"/>
      <name val="Verdana"/>
      <family val="2"/>
    </font>
    <font>
      <i/>
      <sz val="10"/>
      <color indexed="8"/>
      <name val="Verdana"/>
      <family val="2"/>
    </font>
    <font>
      <sz val="10"/>
      <name val="Arial"/>
      <family val="2"/>
    </font>
    <font>
      <b/>
      <sz val="11"/>
      <color indexed="8"/>
      <name val="Verdana"/>
      <family val="2"/>
    </font>
    <font>
      <sz val="11"/>
      <color indexed="8"/>
      <name val="Verdana"/>
      <family val="2"/>
    </font>
    <font>
      <sz val="10"/>
      <color indexed="9"/>
      <name val="Verdana"/>
      <family val="2"/>
    </font>
    <font>
      <b/>
      <sz val="12"/>
      <color indexed="9"/>
      <name val="Verdana"/>
      <family val="2"/>
    </font>
    <font>
      <b/>
      <sz val="10"/>
      <color indexed="54"/>
      <name val="Verdana"/>
      <family val="2"/>
    </font>
    <font>
      <sz val="11"/>
      <color indexed="8"/>
      <name val="Arial"/>
      <family val="2"/>
    </font>
    <font>
      <u/>
      <sz val="11"/>
      <color theme="10"/>
      <name val="Calibri"/>
      <family val="2"/>
      <scheme val="minor"/>
    </font>
    <font>
      <u/>
      <sz val="10"/>
      <name val="Verdana"/>
      <family val="2"/>
    </font>
    <font>
      <b/>
      <sz val="10"/>
      <color indexed="8"/>
      <name val="Arial"/>
      <family val="2"/>
    </font>
    <font>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font>
    <font>
      <u/>
      <sz val="10"/>
      <color theme="10"/>
      <name val="Arial"/>
      <family val="2"/>
    </font>
    <font>
      <sz val="11"/>
      <color indexed="20"/>
      <name val="Calibri"/>
      <family val="2"/>
    </font>
    <font>
      <u/>
      <sz val="7.5"/>
      <color indexed="12"/>
      <name val="Arial"/>
      <family val="2"/>
    </font>
    <font>
      <sz val="11"/>
      <color indexed="60"/>
      <name val="Calibri"/>
      <family val="2"/>
    </font>
    <font>
      <sz val="8"/>
      <name val="Arial"/>
      <family val="2"/>
    </font>
    <font>
      <sz val="12"/>
      <color theme="1"/>
      <name val="Calibri"/>
      <family val="2"/>
      <scheme val="minor"/>
    </font>
    <font>
      <b/>
      <sz val="11"/>
      <color indexed="63"/>
      <name val="Calibri"/>
      <family val="2"/>
    </font>
    <font>
      <b/>
      <sz val="18"/>
      <color indexed="8"/>
      <name val="Cambria"/>
      <family val="1"/>
    </font>
    <font>
      <sz val="12"/>
      <color indexed="8"/>
      <name val="Arial"/>
      <family val="2"/>
    </font>
    <font>
      <b/>
      <sz val="18"/>
      <color indexed="56"/>
      <name val="Cambria"/>
      <family val="2"/>
    </font>
    <font>
      <b/>
      <sz val="12"/>
      <name val="Helv"/>
    </font>
    <font>
      <b/>
      <sz val="10"/>
      <name val="Helv"/>
    </font>
    <font>
      <b/>
      <sz val="18"/>
      <color indexed="62"/>
      <name val="Cambria"/>
      <family val="2"/>
    </font>
    <font>
      <b/>
      <sz val="11"/>
      <color indexed="8"/>
      <name val="Calibri"/>
      <family val="2"/>
    </font>
    <font>
      <b/>
      <sz val="11"/>
      <name val="Verdana"/>
      <family val="2"/>
    </font>
    <font>
      <b/>
      <sz val="10"/>
      <color theme="1"/>
      <name val="Verdana"/>
      <family val="2"/>
    </font>
    <font>
      <sz val="11"/>
      <color theme="1"/>
      <name val="Verdana"/>
      <family val="2"/>
    </font>
    <font>
      <b/>
      <sz val="11"/>
      <color theme="1"/>
      <name val="Verdana"/>
      <family val="2"/>
    </font>
    <font>
      <sz val="9"/>
      <color theme="1"/>
      <name val="Cambria"/>
      <family val="1"/>
    </font>
    <font>
      <b/>
      <sz val="9"/>
      <color rgb="FF000000"/>
      <name val="Cambria"/>
      <family val="1"/>
    </font>
    <font>
      <b/>
      <sz val="9"/>
      <color theme="1"/>
      <name val="Cambria"/>
      <family val="1"/>
    </font>
    <font>
      <b/>
      <sz val="9"/>
      <name val="Cambria"/>
      <family val="1"/>
    </font>
    <font>
      <sz val="9"/>
      <color rgb="FF000000"/>
      <name val="Cambria"/>
      <family val="1"/>
    </font>
    <font>
      <sz val="9"/>
      <name val="Cambria"/>
      <family val="1"/>
    </font>
    <font>
      <b/>
      <sz val="9"/>
      <color rgb="FF0070C0"/>
      <name val="Cambria"/>
      <family val="1"/>
    </font>
    <font>
      <strike/>
      <sz val="9"/>
      <color rgb="FFFF0000"/>
      <name val="Cambria"/>
      <family val="1"/>
    </font>
    <font>
      <b/>
      <strike/>
      <sz val="9"/>
      <color rgb="FFFF0000"/>
      <name val="Cambria"/>
      <family val="1"/>
    </font>
    <font>
      <b/>
      <sz val="9"/>
      <color theme="0"/>
      <name val="Cambria"/>
      <family val="1"/>
    </font>
    <font>
      <i/>
      <sz val="9"/>
      <color rgb="FF0070C0"/>
      <name val="Cambria"/>
      <family val="1"/>
    </font>
    <font>
      <u/>
      <sz val="9"/>
      <color theme="1"/>
      <name val="Cambria"/>
      <family val="1"/>
    </font>
    <font>
      <i/>
      <u/>
      <sz val="9"/>
      <color theme="1"/>
      <name val="Cambria"/>
      <family val="1"/>
    </font>
    <font>
      <b/>
      <sz val="11"/>
      <name val="Calibri"/>
      <family val="2"/>
      <scheme val="minor"/>
    </font>
    <font>
      <sz val="9"/>
      <color rgb="FFFF0000"/>
      <name val="Cambria"/>
      <family val="1"/>
    </font>
  </fonts>
  <fills count="51">
    <fill>
      <patternFill patternType="none"/>
    </fill>
    <fill>
      <patternFill patternType="gray125"/>
    </fill>
    <fill>
      <patternFill patternType="solid">
        <fgColor theme="7" tint="0.39997558519241921"/>
        <bgColor indexed="64"/>
      </patternFill>
    </fill>
    <fill>
      <patternFill patternType="solid">
        <fgColor rgb="FF00206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FC7CE"/>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7"/>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rgb="FFFF0000"/>
        <bgColor indexed="64"/>
      </patternFill>
    </fill>
    <fill>
      <patternFill patternType="solid">
        <fgColor indexed="26"/>
      </patternFill>
    </fill>
    <fill>
      <patternFill patternType="lightUp">
        <fgColor indexed="9"/>
        <bgColor indexed="27"/>
      </patternFill>
    </fill>
    <fill>
      <patternFill patternType="lightUp">
        <fgColor indexed="9"/>
        <bgColor indexed="26"/>
      </patternFill>
    </fill>
    <fill>
      <patternFill patternType="solid">
        <fgColor indexed="43"/>
      </patternFill>
    </fill>
    <fill>
      <patternFill patternType="solid">
        <fgColor theme="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C000"/>
        <bgColor indexed="64"/>
      </patternFill>
    </fill>
    <fill>
      <patternFill patternType="solid">
        <fgColor theme="2"/>
        <bgColor indexed="64"/>
      </patternFill>
    </fill>
    <fill>
      <patternFill patternType="solid">
        <fgColor theme="9"/>
        <bgColor indexed="64"/>
      </patternFill>
    </fill>
    <fill>
      <patternFill patternType="solid">
        <fgColor theme="7" tint="-0.249977111117893"/>
        <bgColor indexed="64"/>
      </patternFill>
    </fill>
  </fills>
  <borders count="1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medium">
        <color indexed="64"/>
      </right>
      <top style="thin">
        <color theme="0"/>
      </top>
      <bottom style="medium">
        <color indexed="64"/>
      </bottom>
      <diagonal/>
    </border>
    <border>
      <left style="thin">
        <color theme="0"/>
      </left>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thin">
        <color theme="0"/>
      </right>
      <top/>
      <bottom style="medium">
        <color indexed="64"/>
      </bottom>
      <diagonal/>
    </border>
    <border>
      <left style="medium">
        <color indexed="64"/>
      </left>
      <right style="thin">
        <color theme="0"/>
      </right>
      <top/>
      <bottom style="medium">
        <color indexed="64"/>
      </bottom>
      <diagonal/>
    </border>
    <border>
      <left style="thin">
        <color theme="0"/>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medium">
        <color theme="0"/>
      </right>
      <top style="medium">
        <color theme="0"/>
      </top>
      <bottom style="medium">
        <color theme="0"/>
      </bottom>
      <diagonal/>
    </border>
    <border>
      <left style="medium">
        <color auto="1"/>
      </left>
      <right style="medium">
        <color auto="1"/>
      </right>
      <top style="thin">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indexed="64"/>
      </top>
      <bottom style="medium">
        <color indexed="64"/>
      </bottom>
      <diagonal/>
    </border>
    <border>
      <left style="medium">
        <color auto="1"/>
      </left>
      <right style="thin">
        <color auto="1"/>
      </right>
      <top style="thin">
        <color indexed="64"/>
      </top>
      <bottom style="medium">
        <color indexed="64"/>
      </bottom>
      <diagonal/>
    </border>
    <border>
      <left/>
      <right style="medium">
        <color theme="0"/>
      </right>
      <top style="medium">
        <color theme="0"/>
      </top>
      <bottom style="thin">
        <color theme="0"/>
      </bottom>
      <diagonal/>
    </border>
    <border>
      <left style="medium">
        <color indexed="64"/>
      </left>
      <right style="medium">
        <color indexed="64"/>
      </right>
      <top style="thin">
        <color indexed="64"/>
      </top>
      <bottom/>
      <diagonal/>
    </border>
    <border>
      <left style="thin">
        <color auto="1"/>
      </left>
      <right/>
      <top style="thin">
        <color auto="1"/>
      </top>
      <bottom/>
      <diagonal/>
    </border>
    <border>
      <left style="medium">
        <color indexed="64"/>
      </left>
      <right style="thin">
        <color auto="1"/>
      </right>
      <top style="thin">
        <color indexed="64"/>
      </top>
      <bottom/>
      <diagonal/>
    </border>
    <border>
      <left style="medium">
        <color indexed="64"/>
      </left>
      <right style="medium">
        <color indexed="64"/>
      </right>
      <top style="medium">
        <color indexed="64"/>
      </top>
      <bottom style="thin">
        <color auto="1"/>
      </bottom>
      <diagonal/>
    </border>
    <border>
      <left style="medium">
        <color indexed="64"/>
      </left>
      <right/>
      <top/>
      <bottom style="thin">
        <color auto="1"/>
      </bottom>
      <diagonal/>
    </border>
    <border>
      <left/>
      <right/>
      <top style="thin">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thin">
        <color auto="1"/>
      </top>
      <bottom style="thin">
        <color auto="1"/>
      </bottom>
      <diagonal/>
    </border>
    <border>
      <left style="thin">
        <color theme="0"/>
      </left>
      <right style="medium">
        <color indexed="64"/>
      </right>
      <top/>
      <bottom style="thin">
        <color theme="0"/>
      </bottom>
      <diagonal/>
    </border>
    <border>
      <left style="thin">
        <color theme="0"/>
      </left>
      <right/>
      <top/>
      <bottom style="thin">
        <color theme="0"/>
      </bottom>
      <diagonal/>
    </border>
    <border>
      <left style="thin">
        <color theme="0"/>
      </left>
      <right style="thin">
        <color theme="0"/>
      </right>
      <top/>
      <bottom style="thin">
        <color theme="0"/>
      </bottom>
      <diagonal/>
    </border>
    <border>
      <left/>
      <right style="medium">
        <color theme="0"/>
      </right>
      <top/>
      <bottom style="medium">
        <color theme="0"/>
      </bottom>
      <diagonal/>
    </border>
    <border>
      <left/>
      <right/>
      <top style="medium">
        <color indexed="64"/>
      </top>
      <bottom style="thin">
        <color auto="1"/>
      </bottom>
      <diagonal/>
    </border>
    <border>
      <left style="medium">
        <color indexed="64"/>
      </left>
      <right/>
      <top style="medium">
        <color indexed="64"/>
      </top>
      <bottom style="thin">
        <color auto="1"/>
      </bottom>
      <diagonal/>
    </border>
    <border>
      <left style="thin">
        <color theme="0"/>
      </left>
      <right style="thin">
        <color theme="0"/>
      </right>
      <top style="thin">
        <color theme="0"/>
      </top>
      <bottom/>
      <diagonal/>
    </border>
    <border>
      <left style="medium">
        <color indexed="64"/>
      </left>
      <right style="thin">
        <color theme="0"/>
      </right>
      <top style="thin">
        <color theme="0"/>
      </top>
      <bottom/>
      <diagonal/>
    </border>
    <border>
      <left style="medium">
        <color indexed="64"/>
      </left>
      <right style="thin">
        <color theme="0"/>
      </right>
      <top style="thin">
        <color theme="0"/>
      </top>
      <bottom style="thin">
        <color theme="0"/>
      </bottom>
      <diagonal/>
    </border>
    <border>
      <left style="medium">
        <color indexed="64"/>
      </left>
      <right style="thin">
        <color theme="0"/>
      </right>
      <top/>
      <bottom style="thin">
        <color theme="0"/>
      </bottom>
      <diagonal/>
    </border>
    <border>
      <left style="thin">
        <color auto="1"/>
      </left>
      <right style="thin">
        <color auto="1"/>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thin">
        <color auto="1"/>
      </left>
      <right/>
      <top/>
      <bottom style="thin">
        <color auto="1"/>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n">
        <color theme="0"/>
      </left>
      <right style="medium">
        <color indexed="64"/>
      </right>
      <top style="thin">
        <color theme="0"/>
      </top>
      <bottom/>
      <diagonal/>
    </border>
    <border>
      <left style="thin">
        <color theme="0"/>
      </left>
      <right/>
      <top style="thin">
        <color theme="0"/>
      </top>
      <bottom/>
      <diagonal/>
    </border>
    <border>
      <left style="thin">
        <color theme="0"/>
      </left>
      <right style="thin">
        <color theme="0"/>
      </right>
      <top/>
      <bottom/>
      <diagonal/>
    </border>
    <border>
      <left style="medium">
        <color indexed="64"/>
      </left>
      <right style="thin">
        <color theme="0"/>
      </right>
      <top/>
      <bottom/>
      <diagonal/>
    </border>
    <border>
      <left style="thin">
        <color theme="0"/>
      </left>
      <right style="medium">
        <color indexed="64"/>
      </right>
      <top style="thin">
        <color indexed="64"/>
      </top>
      <bottom style="thin">
        <color theme="0"/>
      </bottom>
      <diagonal/>
    </border>
    <border>
      <left style="thin">
        <color theme="0"/>
      </left>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auto="1"/>
      </top>
      <bottom/>
      <diagonal/>
    </border>
    <border>
      <left style="medium">
        <color indexed="64"/>
      </left>
      <right style="thin">
        <color theme="0"/>
      </right>
      <top style="thin">
        <color auto="1"/>
      </top>
      <bottom/>
      <diagonal/>
    </border>
    <border>
      <left style="medium">
        <color theme="0"/>
      </left>
      <right style="medium">
        <color indexed="64"/>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indexed="64"/>
      </right>
      <top/>
      <bottom style="medium">
        <color theme="0"/>
      </bottom>
      <diagonal/>
    </border>
    <border>
      <left style="medium">
        <color theme="0"/>
      </left>
      <right/>
      <top/>
      <bottom style="medium">
        <color theme="0"/>
      </bottom>
      <diagonal/>
    </border>
    <border>
      <left style="medium">
        <color theme="0"/>
      </left>
      <right style="medium">
        <color theme="0"/>
      </right>
      <top/>
      <bottom style="medium">
        <color theme="0"/>
      </bottom>
      <diagonal/>
    </border>
    <border>
      <left style="medium">
        <color theme="0"/>
      </left>
      <right style="medium">
        <color indexed="64"/>
      </right>
      <top style="medium">
        <color indexed="64"/>
      </top>
      <bottom style="medium">
        <color theme="0"/>
      </bottom>
      <diagonal/>
    </border>
    <border>
      <left style="medium">
        <color theme="0"/>
      </left>
      <right/>
      <top style="medium">
        <color indexed="64"/>
      </top>
      <bottom style="medium">
        <color theme="0"/>
      </bottom>
      <diagonal/>
    </border>
    <border>
      <left style="medium">
        <color theme="0"/>
      </left>
      <right style="medium">
        <color theme="0"/>
      </right>
      <top style="medium">
        <color indexed="64"/>
      </top>
      <bottom style="medium">
        <color theme="0"/>
      </bottom>
      <diagonal/>
    </border>
    <border>
      <left style="medium">
        <color theme="0"/>
      </left>
      <right style="medium">
        <color theme="0"/>
      </right>
      <top style="medium">
        <color indexed="64"/>
      </top>
      <bottom/>
      <diagonal/>
    </border>
    <border>
      <left style="medium">
        <color indexed="64"/>
      </left>
      <right style="medium">
        <color theme="0"/>
      </right>
      <top style="medium">
        <color indexed="64"/>
      </top>
      <bottom/>
      <diagonal/>
    </border>
    <border>
      <left/>
      <right style="thin">
        <color theme="0"/>
      </right>
      <top style="thin">
        <color theme="0"/>
      </top>
      <bottom/>
      <diagonal/>
    </border>
    <border>
      <left style="medium">
        <color indexed="64"/>
      </left>
      <right style="medium">
        <color indexed="64"/>
      </right>
      <top style="thin">
        <color theme="1"/>
      </top>
      <bottom/>
      <diagonal/>
    </border>
    <border>
      <left style="thin">
        <color theme="1"/>
      </left>
      <right/>
      <top style="thin">
        <color theme="1"/>
      </top>
      <bottom/>
      <diagonal/>
    </border>
    <border>
      <left style="thin">
        <color theme="1"/>
      </left>
      <right style="thin">
        <color theme="1"/>
      </right>
      <top style="thin">
        <color theme="1"/>
      </top>
      <bottom/>
      <diagonal/>
    </border>
    <border>
      <left style="medium">
        <color indexed="64"/>
      </left>
      <right style="thin">
        <color theme="1"/>
      </right>
      <top style="thin">
        <color theme="1"/>
      </top>
      <bottom/>
      <diagonal/>
    </border>
    <border>
      <left style="medium">
        <color indexed="64"/>
      </left>
      <right style="medium">
        <color indexed="64"/>
      </right>
      <top style="medium">
        <color indexed="64"/>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indexed="64"/>
      </left>
      <right style="thin">
        <color theme="1"/>
      </right>
      <top style="thin">
        <color theme="1"/>
      </top>
      <bottom style="thin">
        <color theme="1"/>
      </bottom>
      <diagonal/>
    </border>
    <border>
      <left/>
      <right style="medium">
        <color indexed="64"/>
      </right>
      <top style="thin">
        <color theme="1"/>
      </top>
      <bottom style="thin">
        <color theme="1"/>
      </bottom>
      <diagonal/>
    </border>
    <border>
      <left/>
      <right/>
      <top style="thin">
        <color theme="1"/>
      </top>
      <bottom style="thin">
        <color theme="1"/>
      </bottom>
      <diagonal/>
    </border>
    <border>
      <left style="medium">
        <color indexed="64"/>
      </left>
      <right/>
      <top style="thin">
        <color theme="1"/>
      </top>
      <bottom style="thin">
        <color theme="1"/>
      </bottom>
      <diagonal/>
    </border>
    <border>
      <left style="thin">
        <color theme="1"/>
      </left>
      <right style="medium">
        <color indexed="64"/>
      </right>
      <top style="medium">
        <color indexed="64"/>
      </top>
      <bottom/>
      <diagonal/>
    </border>
    <border>
      <left style="thin">
        <color theme="1"/>
      </left>
      <right style="thin">
        <color theme="1"/>
      </right>
      <top style="medium">
        <color indexed="64"/>
      </top>
      <bottom style="thin">
        <color theme="1"/>
      </bottom>
      <diagonal/>
    </border>
    <border>
      <left style="medium">
        <color indexed="64"/>
      </left>
      <right style="thin">
        <color theme="1"/>
      </right>
      <top style="medium">
        <color indexed="64"/>
      </top>
      <bottom style="thin">
        <color theme="1"/>
      </bottom>
      <diagonal/>
    </border>
    <border>
      <left style="thin">
        <color theme="0"/>
      </left>
      <right/>
      <top/>
      <bottom/>
      <diagonal/>
    </border>
    <border>
      <left/>
      <right style="thin">
        <color theme="0"/>
      </right>
      <top/>
      <bottom style="thin">
        <color theme="0"/>
      </bottom>
      <diagonal/>
    </border>
    <border>
      <left style="medium">
        <color theme="0"/>
      </left>
      <right style="medium">
        <color indexed="64"/>
      </right>
      <top style="medium">
        <color theme="0"/>
      </top>
      <bottom/>
      <diagonal/>
    </border>
    <border>
      <left style="medium">
        <color theme="0"/>
      </left>
      <right style="medium">
        <color theme="0"/>
      </right>
      <top style="medium">
        <color theme="0"/>
      </top>
      <bottom/>
      <diagonal/>
    </border>
    <border>
      <left style="medium">
        <color indexed="64"/>
      </left>
      <right style="medium">
        <color theme="0"/>
      </right>
      <top style="medium">
        <color theme="0"/>
      </top>
      <bottom/>
      <diagonal/>
    </border>
    <border>
      <left style="medium">
        <color indexed="64"/>
      </left>
      <right style="medium">
        <color theme="0"/>
      </right>
      <top/>
      <bottom style="medium">
        <color theme="0"/>
      </bottom>
      <diagonal/>
    </border>
    <border>
      <left style="medium">
        <color theme="0"/>
      </left>
      <right/>
      <top style="medium">
        <color theme="0"/>
      </top>
      <bottom/>
      <diagonal/>
    </border>
    <border>
      <left/>
      <right style="medium">
        <color theme="0"/>
      </right>
      <top style="medium">
        <color theme="0"/>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top/>
      <bottom style="thin">
        <color theme="0"/>
      </bottom>
      <diagonal/>
    </border>
    <border>
      <left style="medium">
        <color indexed="64"/>
      </left>
      <right style="medium">
        <color indexed="64"/>
      </right>
      <top style="medium">
        <color indexed="64"/>
      </top>
      <bottom/>
      <diagonal/>
    </border>
    <border>
      <left/>
      <right style="thin">
        <color theme="0"/>
      </right>
      <top/>
      <bottom/>
      <diagonal/>
    </border>
    <border>
      <left style="medium">
        <color indexed="64"/>
      </left>
      <right style="thin">
        <color theme="0"/>
      </right>
      <top style="thin">
        <color theme="0"/>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style="medium">
        <color indexed="64"/>
      </top>
      <bottom style="thin">
        <color theme="0"/>
      </bottom>
      <diagonal/>
    </border>
    <border>
      <left/>
      <right/>
      <top style="thin">
        <color theme="0"/>
      </top>
      <bottom/>
      <diagonal/>
    </border>
    <border>
      <left/>
      <right/>
      <top style="thin">
        <color theme="0"/>
      </top>
      <bottom style="thin">
        <color theme="0"/>
      </bottom>
      <diagonal/>
    </border>
    <border>
      <left style="medium">
        <color indexed="64"/>
      </left>
      <right style="medium">
        <color indexed="64"/>
      </right>
      <top/>
      <bottom style="medium">
        <color indexed="64"/>
      </bottom>
      <diagonal/>
    </border>
    <border>
      <left/>
      <right style="thin">
        <color theme="0"/>
      </right>
      <top style="medium">
        <color indexed="64"/>
      </top>
      <bottom style="thin">
        <color theme="0"/>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theme="0"/>
      </top>
      <bottom style="thin">
        <color indexed="64"/>
      </bottom>
      <diagonal/>
    </border>
    <border>
      <left style="medium">
        <color indexed="64"/>
      </left>
      <right style="thin">
        <color theme="0"/>
      </right>
      <top style="thin">
        <color theme="0"/>
      </top>
      <bottom style="thin">
        <color indexed="64"/>
      </bottom>
      <diagonal/>
    </border>
    <border>
      <left style="thin">
        <color theme="0"/>
      </left>
      <right style="thin">
        <color indexed="64"/>
      </right>
      <top style="thin">
        <color theme="0"/>
      </top>
      <bottom style="thin">
        <color theme="0"/>
      </bottom>
      <diagonal/>
    </border>
    <border>
      <left style="thin">
        <color theme="0"/>
      </left>
      <right style="thin">
        <color indexed="64"/>
      </right>
      <top style="thin">
        <color indexed="64"/>
      </top>
      <bottom style="thin">
        <color theme="0"/>
      </bottom>
      <diagonal/>
    </border>
    <border>
      <left style="medium">
        <color indexed="64"/>
      </left>
      <right style="thin">
        <color theme="0"/>
      </right>
      <top style="thin">
        <color indexed="64"/>
      </top>
      <bottom style="thin">
        <color theme="0"/>
      </bottom>
      <diagonal/>
    </border>
    <border>
      <left style="thin">
        <color indexed="64"/>
      </left>
      <right style="thin">
        <color indexed="64"/>
      </right>
      <top style="thin">
        <color indexed="64"/>
      </top>
      <bottom/>
      <diagonal/>
    </border>
    <border>
      <left style="thin">
        <color theme="0"/>
      </left>
      <right style="thin">
        <color theme="0"/>
      </right>
      <top style="medium">
        <color indexed="64"/>
      </top>
      <bottom/>
      <diagonal/>
    </border>
    <border>
      <left style="medium">
        <color indexed="64"/>
      </left>
      <right style="thin">
        <color theme="0"/>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theme="0"/>
      </bottom>
      <diagonal/>
    </border>
    <border>
      <left style="medium">
        <color indexed="64"/>
      </left>
      <right style="medium">
        <color indexed="64"/>
      </right>
      <top style="thin">
        <color theme="0"/>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auto="1"/>
      </left>
      <right/>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s>
  <cellStyleXfs count="252">
    <xf numFmtId="0" fontId="0" fillId="0" borderId="0"/>
    <xf numFmtId="0" fontId="1" fillId="0" borderId="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5" fontId="1" fillId="0" borderId="0" applyFont="0" applyFill="0" applyBorder="0" applyAlignment="0" applyProtection="0"/>
    <xf numFmtId="41" fontId="16" fillId="0" borderId="0" applyFont="0" applyFill="0" applyBorder="0" applyAlignment="0" applyProtection="0"/>
    <xf numFmtId="0" fontId="1" fillId="0" borderId="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4" fillId="19"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19"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6" borderId="0" applyNumberFormat="0" applyBorder="0" applyAlignment="0" applyProtection="0"/>
    <xf numFmtId="0" fontId="25" fillId="0" borderId="0" applyNumberFormat="0" applyFill="0" applyBorder="0" applyAlignment="0" applyProtection="0"/>
    <xf numFmtId="0" fontId="21" fillId="8" borderId="0" applyNumberFormat="0" applyBorder="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6" fillId="27" borderId="105" applyNumberFormat="0" applyAlignment="0" applyProtection="0"/>
    <xf numFmtId="0" fontId="27" fillId="0" borderId="106" applyNumberFormat="0" applyFill="0" applyAlignment="0" applyProtection="0"/>
    <xf numFmtId="0" fontId="28" fillId="28" borderId="107" applyNumberFormat="0" applyAlignment="0" applyProtection="0"/>
    <xf numFmtId="1" fontId="29" fillId="29" borderId="2">
      <alignment horizontal="right" vertical="center" indent="1"/>
    </xf>
    <xf numFmtId="1" fontId="29" fillId="29" borderId="2">
      <alignment horizontal="right" vertical="center"/>
    </xf>
    <xf numFmtId="0" fontId="30" fillId="29" borderId="2">
      <alignment horizontal="right" vertical="center"/>
    </xf>
    <xf numFmtId="0" fontId="30" fillId="29" borderId="2">
      <alignment horizontal="right" vertical="center"/>
    </xf>
    <xf numFmtId="0" fontId="31" fillId="30" borderId="108"/>
    <xf numFmtId="0" fontId="32" fillId="31" borderId="2">
      <alignment horizontal="center" vertical="center"/>
    </xf>
    <xf numFmtId="0" fontId="32" fillId="31" borderId="2">
      <alignment horizontal="center" vertical="center"/>
    </xf>
    <xf numFmtId="1" fontId="29" fillId="30" borderId="2">
      <alignment horizontal="right" vertical="center" indent="1"/>
    </xf>
    <xf numFmtId="1" fontId="29" fillId="30" borderId="2">
      <alignment horizontal="right" vertical="center"/>
    </xf>
    <xf numFmtId="0" fontId="31" fillId="30" borderId="0"/>
    <xf numFmtId="0" fontId="33" fillId="30" borderId="2">
      <alignment horizontal="left" vertical="center"/>
    </xf>
    <xf numFmtId="0" fontId="33" fillId="30" borderId="2">
      <alignment horizontal="left" vertical="center"/>
    </xf>
    <xf numFmtId="0" fontId="33" fillId="30" borderId="109">
      <alignment vertical="center"/>
    </xf>
    <xf numFmtId="0" fontId="32" fillId="30" borderId="110">
      <alignment vertical="center"/>
    </xf>
    <xf numFmtId="0" fontId="33" fillId="30" borderId="2">
      <alignment horizontal="left" indent="1"/>
    </xf>
    <xf numFmtId="0" fontId="33" fillId="30" borderId="2"/>
    <xf numFmtId="0" fontId="30" fillId="30" borderId="2">
      <alignment horizontal="right" vertical="center"/>
    </xf>
    <xf numFmtId="0" fontId="30" fillId="30" borderId="2">
      <alignment horizontal="right" vertical="center"/>
    </xf>
    <xf numFmtId="0" fontId="34" fillId="32" borderId="2">
      <alignment horizontal="left" vertical="center"/>
    </xf>
    <xf numFmtId="0" fontId="34" fillId="32" borderId="2">
      <alignment horizontal="left" vertical="center"/>
    </xf>
    <xf numFmtId="0" fontId="35" fillId="32" borderId="2">
      <alignment horizontal="left" vertical="center"/>
    </xf>
    <xf numFmtId="0" fontId="35" fillId="32" borderId="2">
      <alignment horizontal="left" vertical="center"/>
    </xf>
    <xf numFmtId="0" fontId="36" fillId="30" borderId="2">
      <alignment horizontal="left" vertical="center" indent="1"/>
    </xf>
    <xf numFmtId="0" fontId="36" fillId="30" borderId="2">
      <alignment horizontal="left" vertical="center"/>
    </xf>
    <xf numFmtId="0" fontId="37" fillId="30" borderId="108"/>
    <xf numFmtId="0" fontId="32" fillId="33" borderId="2">
      <alignment horizontal="left" vertical="center" indent="1"/>
    </xf>
    <xf numFmtId="0" fontId="32" fillId="33" borderId="2">
      <alignment horizontal="left" vertical="center"/>
    </xf>
    <xf numFmtId="41" fontId="16"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31" fillId="0" borderId="0" applyFont="0" applyFill="0" applyBorder="0" applyAlignment="0" applyProtection="0"/>
    <xf numFmtId="43" fontId="23"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0" borderId="0" applyNumberFormat="0" applyFill="0" applyBorder="0" applyAlignment="0" applyProtection="0"/>
    <xf numFmtId="0" fontId="31" fillId="35" borderId="123" applyNumberFormat="0" applyFont="0" applyAlignment="0" applyProtection="0"/>
    <xf numFmtId="0" fontId="31" fillId="35" borderId="123" applyNumberFormat="0" applyFont="0" applyAlignment="0" applyProtection="0"/>
    <xf numFmtId="0" fontId="31" fillId="35" borderId="123" applyNumberFormat="0" applyFont="0" applyAlignment="0" applyProtection="0"/>
    <xf numFmtId="171" fontId="31" fillId="0" borderId="0" applyFont="0" applyFill="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172" fontId="31" fillId="0" borderId="0" applyFont="0" applyFill="0" applyBorder="0" applyAlignment="0" applyProtection="0"/>
    <xf numFmtId="172" fontId="31" fillId="0" borderId="0" applyFont="0" applyFill="0" applyBorder="0" applyAlignment="0" applyProtection="0"/>
    <xf numFmtId="172" fontId="31" fillId="0" borderId="0" applyFont="0" applyFill="0" applyBorder="0" applyAlignment="0" applyProtection="0"/>
    <xf numFmtId="172" fontId="31" fillId="0" borderId="0" applyFont="0" applyFill="0" applyBorder="0" applyAlignment="0" applyProtection="0"/>
    <xf numFmtId="0" fontId="42" fillId="0" borderId="0" applyNumberFormat="0" applyFill="0" applyBorder="0" applyAlignment="0" applyProtection="0"/>
    <xf numFmtId="0" fontId="43" fillId="11" borderId="0" applyNumberFormat="0" applyBorder="0" applyAlignment="0" applyProtection="0"/>
    <xf numFmtId="0" fontId="44" fillId="0" borderId="124" applyNumberFormat="0" applyFill="0" applyAlignment="0" applyProtection="0"/>
    <xf numFmtId="0" fontId="45" fillId="0" borderId="125" applyNumberFormat="0" applyFill="0" applyAlignment="0" applyProtection="0"/>
    <xf numFmtId="0" fontId="46" fillId="0" borderId="12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1" fillId="14" borderId="105" applyNumberFormat="0" applyAlignment="0" applyProtection="0"/>
    <xf numFmtId="0" fontId="49" fillId="10" borderId="0" applyNumberFormat="0" applyBorder="0" applyAlignment="0" applyProtection="0"/>
    <xf numFmtId="0" fontId="50" fillId="0" borderId="0" applyNumberFormat="0" applyFill="0" applyBorder="0" applyAlignment="0" applyProtection="0">
      <alignment vertical="top"/>
      <protection locked="0"/>
    </xf>
    <xf numFmtId="0" fontId="27" fillId="0" borderId="106" applyNumberFormat="0" applyFill="0" applyAlignment="0" applyProtection="0"/>
    <xf numFmtId="41" fontId="31" fillId="0" borderId="0" applyFont="0" applyFill="0" applyBorder="0" applyAlignment="0" applyProtection="0"/>
    <xf numFmtId="173" fontId="31" fillId="0" borderId="0" applyFont="0" applyFill="0" applyBorder="0" applyAlignment="0" applyProtection="0"/>
    <xf numFmtId="164" fontId="1" fillId="0" borderId="0" applyFont="0" applyFill="0" applyBorder="0" applyAlignment="0" applyProtection="0"/>
    <xf numFmtId="0" fontId="51" fillId="38" borderId="0" applyNumberFormat="0" applyBorder="0" applyAlignment="0" applyProtection="0"/>
    <xf numFmtId="0" fontId="51" fillId="38" borderId="0" applyNumberFormat="0" applyBorder="0" applyAlignment="0" applyProtection="0"/>
    <xf numFmtId="0" fontId="52" fillId="0" borderId="0"/>
    <xf numFmtId="0" fontId="31" fillId="0" borderId="0"/>
    <xf numFmtId="0" fontId="31" fillId="0" borderId="0"/>
    <xf numFmtId="0" fontId="53" fillId="0" borderId="0"/>
    <xf numFmtId="0" fontId="52" fillId="0" borderId="0"/>
    <xf numFmtId="0" fontId="10" fillId="0" borderId="0"/>
    <xf numFmtId="0" fontId="52" fillId="0" borderId="0"/>
    <xf numFmtId="0" fontId="52" fillId="0" borderId="0"/>
    <xf numFmtId="0" fontId="52" fillId="0" borderId="0"/>
    <xf numFmtId="0" fontId="10" fillId="0" borderId="0"/>
    <xf numFmtId="0" fontId="52" fillId="0" borderId="0"/>
    <xf numFmtId="0" fontId="31" fillId="0" borderId="0"/>
    <xf numFmtId="0" fontId="31" fillId="0" borderId="0"/>
    <xf numFmtId="0" fontId="52" fillId="0" borderId="0"/>
    <xf numFmtId="0" fontId="31" fillId="0" borderId="0"/>
    <xf numFmtId="0" fontId="31" fillId="0" borderId="0"/>
    <xf numFmtId="0" fontId="52" fillId="0" borderId="0"/>
    <xf numFmtId="0" fontId="1" fillId="0" borderId="0"/>
    <xf numFmtId="0" fontId="1" fillId="0" borderId="0"/>
    <xf numFmtId="0" fontId="23" fillId="0" borderId="0"/>
    <xf numFmtId="0" fontId="31" fillId="0" borderId="0"/>
    <xf numFmtId="0" fontId="31" fillId="0" borderId="0"/>
    <xf numFmtId="0" fontId="31"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16" fillId="0" borderId="0"/>
    <xf numFmtId="0" fontId="10" fillId="0" borderId="0"/>
    <xf numFmtId="0" fontId="31" fillId="0" borderId="0"/>
    <xf numFmtId="0" fontId="1" fillId="0" borderId="0"/>
    <xf numFmtId="0" fontId="1" fillId="0" borderId="0"/>
    <xf numFmtId="0" fontId="23" fillId="0" borderId="0"/>
    <xf numFmtId="0" fontId="31" fillId="0" borderId="0"/>
    <xf numFmtId="0" fontId="31" fillId="35" borderId="123" applyNumberFormat="0" applyFont="0" applyAlignment="0" applyProtection="0"/>
    <xf numFmtId="0" fontId="31" fillId="35" borderId="123" applyNumberFormat="0" applyFont="0" applyAlignment="0" applyProtection="0"/>
    <xf numFmtId="0" fontId="31" fillId="35" borderId="123" applyNumberFormat="0" applyFont="0" applyAlignment="0" applyProtection="0"/>
    <xf numFmtId="0" fontId="31" fillId="35" borderId="123" applyNumberFormat="0" applyFon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9" fontId="31"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23" fillId="0" borderId="0" applyFont="0" applyFill="0" applyBorder="0" applyAlignment="0" applyProtection="0"/>
    <xf numFmtId="9" fontId="31" fillId="0" borderId="0" applyFont="0" applyFill="0" applyBorder="0" applyAlignment="0" applyProtection="0"/>
    <xf numFmtId="9" fontId="10" fillId="0" borderId="0" applyFont="0" applyFill="0" applyBorder="0" applyAlignment="0" applyProtection="0"/>
    <xf numFmtId="9" fontId="31"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43" fillId="11" borderId="0" applyNumberFormat="0" applyBorder="0" applyAlignment="0" applyProtection="0"/>
    <xf numFmtId="0" fontId="55" fillId="0" borderId="0" applyNumberFormat="0" applyFill="0" applyBorder="0" applyAlignment="0" applyProtection="0"/>
    <xf numFmtId="0" fontId="54" fillId="27" borderId="127" applyNumberFormat="0" applyAlignment="0" applyProtection="0"/>
    <xf numFmtId="0" fontId="54" fillId="27" borderId="127" applyNumberFormat="0" applyAlignment="0" applyProtection="0"/>
    <xf numFmtId="0" fontId="54" fillId="27" borderId="127" applyNumberFormat="0" applyAlignment="0" applyProtection="0"/>
    <xf numFmtId="0" fontId="31" fillId="0" borderId="0"/>
    <xf numFmtId="0" fontId="52" fillId="0" borderId="0"/>
    <xf numFmtId="0" fontId="56" fillId="0" borderId="0"/>
    <xf numFmtId="0" fontId="42"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8" fillId="0" borderId="0">
      <alignment vertical="center"/>
    </xf>
    <xf numFmtId="0" fontId="59" fillId="0" borderId="0"/>
    <xf numFmtId="0" fontId="44" fillId="0" borderId="124" applyNumberFormat="0" applyFill="0" applyAlignment="0" applyProtection="0"/>
    <xf numFmtId="0" fontId="45" fillId="0" borderId="125" applyNumberFormat="0" applyFill="0" applyAlignment="0" applyProtection="0"/>
    <xf numFmtId="0" fontId="46" fillId="0" borderId="126" applyNumberFormat="0" applyFill="0" applyAlignment="0" applyProtection="0"/>
    <xf numFmtId="0" fontId="46" fillId="0" borderId="0" applyNumberFormat="0" applyFill="0" applyBorder="0" applyAlignment="0" applyProtection="0"/>
    <xf numFmtId="0" fontId="60" fillId="0" borderId="0" applyNumberFormat="0" applyFill="0" applyBorder="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0" fontId="61" fillId="0" borderId="128" applyNumberFormat="0" applyFill="0" applyAlignment="0" applyProtection="0"/>
    <xf numFmtId="174" fontId="31" fillId="0" borderId="0" applyFont="0" applyFill="0" applyBorder="0" applyAlignment="0" applyProtection="0"/>
    <xf numFmtId="171" fontId="31" fillId="0" borderId="0" applyFont="0" applyFill="0" applyBorder="0" applyAlignment="0" applyProtection="0"/>
    <xf numFmtId="0" fontId="28" fillId="28" borderId="107" applyNumberFormat="0" applyAlignment="0" applyProtection="0"/>
    <xf numFmtId="0" fontId="25" fillId="0" borderId="0" applyNumberForma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16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72"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cellStyleXfs>
  <cellXfs count="819">
    <xf numFmtId="0" fontId="0" fillId="0" borderId="0" xfId="0"/>
    <xf numFmtId="0" fontId="1" fillId="0" borderId="0" xfId="1"/>
    <xf numFmtId="0" fontId="1" fillId="0" borderId="0" xfId="1" applyBorder="1"/>
    <xf numFmtId="0" fontId="1" fillId="0" borderId="0" xfId="1" applyAlignment="1">
      <alignment horizontal="center" vertical="center"/>
    </xf>
    <xf numFmtId="0" fontId="1" fillId="0" borderId="2" xfId="1" applyBorder="1" applyAlignment="1">
      <alignment horizontal="center" vertical="center"/>
    </xf>
    <xf numFmtId="0" fontId="1" fillId="0" borderId="2" xfId="1" applyBorder="1"/>
    <xf numFmtId="0" fontId="1" fillId="0" borderId="2" xfId="1" applyBorder="1" applyAlignment="1">
      <alignment horizontal="center"/>
    </xf>
    <xf numFmtId="0" fontId="1" fillId="4" borderId="2" xfId="1" applyFill="1" applyBorder="1" applyAlignment="1">
      <alignment horizontal="center" vertical="center"/>
    </xf>
    <xf numFmtId="0" fontId="1" fillId="4" borderId="2" xfId="1" applyFill="1" applyBorder="1" applyAlignment="1">
      <alignment horizontal="center"/>
    </xf>
    <xf numFmtId="0" fontId="1" fillId="4" borderId="2" xfId="1" applyFill="1" applyBorder="1" applyAlignment="1">
      <alignment vertical="center"/>
    </xf>
    <xf numFmtId="0" fontId="7" fillId="3" borderId="5" xfId="1" applyFont="1" applyFill="1" applyBorder="1" applyAlignment="1">
      <alignment horizontal="center" vertical="center"/>
    </xf>
    <xf numFmtId="0" fontId="7" fillId="3" borderId="5" xfId="1" applyFont="1" applyFill="1" applyBorder="1" applyAlignment="1">
      <alignment horizontal="center"/>
    </xf>
    <xf numFmtId="0" fontId="7" fillId="3" borderId="15" xfId="1" applyFont="1" applyFill="1" applyBorder="1" applyAlignment="1">
      <alignment vertical="center"/>
    </xf>
    <xf numFmtId="0" fontId="6" fillId="5" borderId="0" xfId="1" applyFont="1" applyFill="1" applyAlignment="1">
      <alignment horizontal="center" vertical="center" wrapText="1"/>
    </xf>
    <xf numFmtId="0" fontId="9" fillId="0" borderId="18" xfId="1" applyFont="1" applyBorder="1" applyAlignment="1">
      <alignment vertical="center"/>
    </xf>
    <xf numFmtId="0" fontId="9" fillId="0" borderId="19" xfId="1" applyFont="1" applyBorder="1" applyAlignment="1">
      <alignment vertical="center"/>
    </xf>
    <xf numFmtId="0" fontId="10" fillId="0" borderId="20" xfId="1" applyFont="1" applyBorder="1" applyAlignment="1">
      <alignment vertical="center"/>
    </xf>
    <xf numFmtId="0" fontId="10" fillId="0" borderId="21" xfId="1" applyFont="1" applyBorder="1" applyAlignment="1">
      <alignment vertical="center"/>
    </xf>
    <xf numFmtId="0" fontId="10" fillId="0" borderId="22" xfId="1" applyFont="1" applyBorder="1" applyAlignment="1">
      <alignment vertical="center"/>
    </xf>
    <xf numFmtId="0" fontId="10" fillId="0" borderId="23" xfId="1" applyFont="1" applyBorder="1" applyAlignment="1">
      <alignment vertical="center"/>
    </xf>
    <xf numFmtId="0" fontId="10" fillId="0" borderId="24" xfId="1" applyFont="1" applyBorder="1" applyAlignment="1">
      <alignment vertical="center"/>
    </xf>
    <xf numFmtId="0" fontId="10" fillId="0" borderId="25" xfId="1" applyFont="1" applyBorder="1" applyAlignment="1">
      <alignment vertical="center"/>
    </xf>
    <xf numFmtId="0" fontId="10" fillId="0" borderId="26" xfId="1" applyFont="1" applyBorder="1" applyAlignment="1">
      <alignment vertical="center"/>
    </xf>
    <xf numFmtId="0" fontId="10" fillId="0" borderId="18" xfId="1" applyFont="1" applyBorder="1" applyAlignment="1">
      <alignment vertical="center"/>
    </xf>
    <xf numFmtId="0" fontId="11" fillId="0" borderId="27" xfId="1" quotePrefix="1" applyFont="1" applyBorder="1" applyAlignment="1">
      <alignment vertical="center"/>
    </xf>
    <xf numFmtId="9" fontId="12" fillId="0" borderId="28" xfId="4" applyFont="1" applyFill="1" applyBorder="1" applyAlignment="1">
      <alignment horizontal="center" vertical="center"/>
    </xf>
    <xf numFmtId="0" fontId="11" fillId="0" borderId="32" xfId="1" quotePrefix="1" applyFont="1" applyBorder="1" applyAlignment="1">
      <alignment vertical="center"/>
    </xf>
    <xf numFmtId="9" fontId="12" fillId="0" borderId="33" xfId="4" applyFont="1" applyFill="1" applyBorder="1" applyAlignment="1">
      <alignment horizontal="center" vertical="center"/>
    </xf>
    <xf numFmtId="3" fontId="12" fillId="0" borderId="36" xfId="1" applyNumberFormat="1" applyFont="1" applyBorder="1" applyAlignment="1">
      <alignment horizontal="center" vertical="center"/>
    </xf>
    <xf numFmtId="0" fontId="11" fillId="0" borderId="27" xfId="1" applyFont="1" applyBorder="1" applyAlignment="1">
      <alignment vertical="center"/>
    </xf>
    <xf numFmtId="9" fontId="12" fillId="0" borderId="40" xfId="4" applyFont="1" applyFill="1" applyBorder="1" applyAlignment="1">
      <alignment horizontal="center" vertical="center"/>
    </xf>
    <xf numFmtId="0" fontId="10" fillId="0" borderId="42" xfId="1" applyFont="1" applyBorder="1" applyAlignment="1">
      <alignment vertical="center"/>
    </xf>
    <xf numFmtId="0" fontId="10" fillId="0" borderId="43" xfId="1" applyFont="1" applyBorder="1" applyAlignment="1">
      <alignment vertical="center"/>
    </xf>
    <xf numFmtId="0" fontId="10" fillId="0" borderId="44" xfId="1" applyFont="1" applyBorder="1" applyAlignment="1">
      <alignment vertical="center"/>
    </xf>
    <xf numFmtId="0" fontId="10" fillId="0" borderId="45" xfId="1" applyFont="1" applyBorder="1" applyAlignment="1">
      <alignment vertical="center"/>
    </xf>
    <xf numFmtId="4" fontId="12" fillId="0" borderId="25" xfId="1" applyNumberFormat="1" applyFont="1" applyBorder="1" applyAlignment="1">
      <alignment horizontal="center" vertical="center"/>
    </xf>
    <xf numFmtId="4" fontId="12" fillId="0" borderId="26" xfId="1" applyNumberFormat="1" applyFont="1" applyBorder="1" applyAlignment="1">
      <alignment horizontal="center" vertical="center"/>
    </xf>
    <xf numFmtId="4" fontId="12" fillId="0" borderId="18" xfId="1" applyNumberFormat="1" applyFont="1" applyBorder="1" applyAlignment="1">
      <alignment horizontal="center" vertical="center"/>
    </xf>
    <xf numFmtId="0" fontId="12" fillId="0" borderId="48" xfId="1" applyFont="1" applyBorder="1" applyAlignment="1">
      <alignment horizontal="center" vertical="center"/>
    </xf>
    <xf numFmtId="0" fontId="12" fillId="0" borderId="49" xfId="1" applyFont="1" applyBorder="1" applyAlignment="1">
      <alignment horizontal="left" vertical="center"/>
    </xf>
    <xf numFmtId="0" fontId="12" fillId="0" borderId="18" xfId="1" applyFont="1" applyBorder="1" applyAlignment="1">
      <alignment horizontal="center" vertical="center"/>
    </xf>
    <xf numFmtId="0" fontId="12" fillId="0" borderId="50" xfId="1" applyFont="1" applyBorder="1" applyAlignment="1">
      <alignment horizontal="left" vertical="center"/>
    </xf>
    <xf numFmtId="4" fontId="12" fillId="0" borderId="42" xfId="1" applyNumberFormat="1" applyFont="1" applyBorder="1" applyAlignment="1">
      <alignment horizontal="center" vertical="center"/>
    </xf>
    <xf numFmtId="4" fontId="12" fillId="0" borderId="43" xfId="1" applyNumberFormat="1" applyFont="1" applyBorder="1" applyAlignment="1">
      <alignment horizontal="center" vertical="center"/>
    </xf>
    <xf numFmtId="4" fontId="12" fillId="0" borderId="44" xfId="1" applyNumberFormat="1" applyFont="1" applyBorder="1" applyAlignment="1">
      <alignment horizontal="center" vertical="center"/>
    </xf>
    <xf numFmtId="0" fontId="12" fillId="0" borderId="44" xfId="1" applyFont="1" applyBorder="1" applyAlignment="1">
      <alignment horizontal="center" vertical="center"/>
    </xf>
    <xf numFmtId="0" fontId="12" fillId="0" borderId="51" xfId="1" applyFont="1" applyBorder="1" applyAlignment="1">
      <alignment horizontal="left" vertical="center"/>
    </xf>
    <xf numFmtId="0" fontId="12" fillId="0" borderId="52" xfId="1" applyFont="1" applyBorder="1" applyAlignment="1">
      <alignment horizontal="center" vertical="center"/>
    </xf>
    <xf numFmtId="4" fontId="12" fillId="0" borderId="52" xfId="1" applyNumberFormat="1" applyFont="1" applyBorder="1" applyAlignment="1">
      <alignment horizontal="center" vertical="center"/>
    </xf>
    <xf numFmtId="0" fontId="12" fillId="0" borderId="53" xfId="1" applyFont="1" applyBorder="1" applyAlignment="1">
      <alignment horizontal="left" vertical="center"/>
    </xf>
    <xf numFmtId="4" fontId="12" fillId="0" borderId="53" xfId="1" applyNumberFormat="1" applyFont="1" applyBorder="1" applyAlignment="1">
      <alignment vertical="center"/>
    </xf>
    <xf numFmtId="0" fontId="10" fillId="0" borderId="2" xfId="1" applyFont="1" applyBorder="1" applyAlignment="1">
      <alignment horizontal="center" vertical="center"/>
    </xf>
    <xf numFmtId="4" fontId="10" fillId="0" borderId="2" xfId="1" applyNumberFormat="1" applyFont="1" applyBorder="1" applyAlignment="1">
      <alignment horizontal="center" vertical="center"/>
    </xf>
    <xf numFmtId="0" fontId="12" fillId="0" borderId="4" xfId="1" applyFont="1" applyBorder="1" applyAlignment="1">
      <alignment vertical="center"/>
    </xf>
    <xf numFmtId="0" fontId="12" fillId="0" borderId="14" xfId="1" applyFont="1" applyBorder="1" applyAlignment="1">
      <alignment vertical="center"/>
    </xf>
    <xf numFmtId="4" fontId="12" fillId="0" borderId="7" xfId="1" applyNumberFormat="1" applyFont="1" applyBorder="1" applyAlignment="1">
      <alignment horizontal="center" vertical="center"/>
    </xf>
    <xf numFmtId="4" fontId="12" fillId="0" borderId="54" xfId="1" applyNumberFormat="1" applyFont="1" applyBorder="1" applyAlignment="1">
      <alignment horizontal="center" vertical="center"/>
    </xf>
    <xf numFmtId="4" fontId="12" fillId="0" borderId="14" xfId="1" applyNumberFormat="1" applyFont="1" applyBorder="1" applyAlignment="1">
      <alignment horizontal="center" vertical="center"/>
    </xf>
    <xf numFmtId="4" fontId="12" fillId="0" borderId="2" xfId="1" applyNumberFormat="1" applyFont="1" applyBorder="1" applyAlignment="1">
      <alignment horizontal="center" vertical="center"/>
    </xf>
    <xf numFmtId="0" fontId="12" fillId="0" borderId="2" xfId="1" applyFont="1" applyBorder="1" applyAlignment="1">
      <alignment vertical="center"/>
    </xf>
    <xf numFmtId="4" fontId="12" fillId="0" borderId="5" xfId="1" applyNumberFormat="1" applyFont="1" applyBorder="1" applyAlignment="1">
      <alignment horizontal="center" vertical="center"/>
    </xf>
    <xf numFmtId="0" fontId="12" fillId="0" borderId="55" xfId="1" applyFont="1" applyBorder="1" applyAlignment="1">
      <alignment vertical="center"/>
    </xf>
    <xf numFmtId="0" fontId="12" fillId="0" borderId="56" xfId="1" applyFont="1" applyBorder="1" applyAlignment="1">
      <alignment horizontal="center" vertical="center"/>
    </xf>
    <xf numFmtId="0" fontId="12" fillId="0" borderId="57" xfId="1" applyFont="1" applyBorder="1" applyAlignment="1">
      <alignment horizontal="center" vertical="center"/>
    </xf>
    <xf numFmtId="0" fontId="12" fillId="0" borderId="5" xfId="1" applyFont="1" applyBorder="1" applyAlignment="1">
      <alignment horizontal="center" vertical="center"/>
    </xf>
    <xf numFmtId="3" fontId="12" fillId="0" borderId="5" xfId="1" applyNumberFormat="1" applyFont="1" applyBorder="1" applyAlignment="1">
      <alignment horizontal="center" vertical="center"/>
    </xf>
    <xf numFmtId="0" fontId="12" fillId="0" borderId="54" xfId="1" applyFont="1" applyBorder="1" applyAlignment="1">
      <alignment horizontal="center" vertical="center"/>
    </xf>
    <xf numFmtId="0" fontId="12" fillId="0" borderId="2" xfId="1" applyFont="1" applyBorder="1" applyAlignment="1">
      <alignment horizontal="center" vertical="center"/>
    </xf>
    <xf numFmtId="3" fontId="12" fillId="0" borderId="2" xfId="1" applyNumberFormat="1" applyFont="1" applyBorder="1" applyAlignment="1">
      <alignment horizontal="center" vertical="center"/>
    </xf>
    <xf numFmtId="0" fontId="12" fillId="0" borderId="47" xfId="1" applyFont="1" applyBorder="1" applyAlignment="1">
      <alignment vertical="center"/>
    </xf>
    <xf numFmtId="2" fontId="10" fillId="0" borderId="62" xfId="1" applyNumberFormat="1" applyFont="1" applyBorder="1" applyAlignment="1">
      <alignment vertical="center"/>
    </xf>
    <xf numFmtId="2" fontId="10" fillId="0" borderId="63" xfId="1" applyNumberFormat="1" applyFont="1" applyBorder="1" applyAlignment="1">
      <alignment vertical="center"/>
    </xf>
    <xf numFmtId="2" fontId="10" fillId="0" borderId="48" xfId="1" applyNumberFormat="1" applyFont="1" applyBorder="1" applyAlignment="1">
      <alignment vertical="center"/>
    </xf>
    <xf numFmtId="0" fontId="10" fillId="0" borderId="64" xfId="1" applyFont="1" applyBorder="1" applyAlignment="1">
      <alignment vertical="center"/>
    </xf>
    <xf numFmtId="0" fontId="10" fillId="0" borderId="65" xfId="1" applyFont="1" applyBorder="1" applyAlignment="1">
      <alignment vertical="center"/>
    </xf>
    <xf numFmtId="2" fontId="10" fillId="0" borderId="25" xfId="1" applyNumberFormat="1" applyFont="1" applyBorder="1" applyAlignment="1">
      <alignment vertical="center"/>
    </xf>
    <xf numFmtId="2" fontId="10" fillId="0" borderId="26" xfId="1" applyNumberFormat="1" applyFont="1" applyBorder="1" applyAlignment="1">
      <alignment vertical="center"/>
    </xf>
    <xf numFmtId="2" fontId="10" fillId="0" borderId="18" xfId="1" applyNumberFormat="1" applyFont="1" applyBorder="1" applyAlignment="1">
      <alignment vertical="center"/>
    </xf>
    <xf numFmtId="2" fontId="11" fillId="0" borderId="19" xfId="1" applyNumberFormat="1" applyFont="1" applyBorder="1" applyAlignment="1">
      <alignment vertical="center"/>
    </xf>
    <xf numFmtId="2" fontId="10" fillId="0" borderId="19" xfId="1" applyNumberFormat="1" applyFont="1" applyBorder="1" applyAlignment="1">
      <alignment vertical="center"/>
    </xf>
    <xf numFmtId="2" fontId="10" fillId="0" borderId="66" xfId="1" applyNumberFormat="1" applyFont="1" applyBorder="1" applyAlignment="1">
      <alignment vertical="center"/>
    </xf>
    <xf numFmtId="2" fontId="10" fillId="0" borderId="67" xfId="1" applyNumberFormat="1" applyFont="1" applyBorder="1" applyAlignment="1">
      <alignment vertical="center"/>
    </xf>
    <xf numFmtId="2" fontId="10" fillId="0" borderId="68" xfId="1" applyNumberFormat="1" applyFont="1" applyBorder="1" applyAlignment="1">
      <alignment vertical="center"/>
    </xf>
    <xf numFmtId="0" fontId="10" fillId="0" borderId="69" xfId="1" applyFont="1" applyBorder="1" applyAlignment="1">
      <alignment vertical="center"/>
    </xf>
    <xf numFmtId="0" fontId="10" fillId="0" borderId="70" xfId="1" applyFont="1" applyBorder="1" applyAlignment="1">
      <alignment vertical="center"/>
    </xf>
    <xf numFmtId="0" fontId="10" fillId="0" borderId="4" xfId="1" applyFont="1" applyBorder="1" applyAlignment="1">
      <alignment vertical="center"/>
    </xf>
    <xf numFmtId="0" fontId="10" fillId="0" borderId="71" xfId="1" applyFont="1" applyBorder="1" applyAlignment="1">
      <alignment vertical="center"/>
    </xf>
    <xf numFmtId="0" fontId="10" fillId="0" borderId="72" xfId="1" applyFont="1" applyBorder="1" applyAlignment="1">
      <alignment vertical="center"/>
    </xf>
    <xf numFmtId="0" fontId="10" fillId="0" borderId="73" xfId="1" applyFont="1" applyBorder="1" applyAlignment="1">
      <alignment vertical="center"/>
    </xf>
    <xf numFmtId="0" fontId="10" fillId="0" borderId="27" xfId="1" quotePrefix="1" applyFont="1" applyBorder="1" applyAlignment="1">
      <alignment vertical="center"/>
    </xf>
    <xf numFmtId="166" fontId="12" fillId="0" borderId="40" xfId="4" applyNumberFormat="1" applyFont="1" applyFill="1" applyBorder="1" applyAlignment="1">
      <alignment horizontal="center" vertical="center"/>
    </xf>
    <xf numFmtId="0" fontId="10" fillId="0" borderId="74" xfId="1" applyFont="1" applyBorder="1" applyAlignment="1">
      <alignment vertical="center"/>
    </xf>
    <xf numFmtId="0" fontId="10" fillId="0" borderId="75" xfId="1" applyFont="1" applyBorder="1" applyAlignment="1">
      <alignment vertical="center"/>
    </xf>
    <xf numFmtId="0" fontId="10" fillId="0" borderId="76" xfId="1" applyFont="1" applyBorder="1" applyAlignment="1">
      <alignment vertical="center"/>
    </xf>
    <xf numFmtId="0" fontId="10" fillId="0" borderId="77" xfId="1" applyFont="1" applyBorder="1" applyAlignment="1">
      <alignment vertical="center"/>
    </xf>
    <xf numFmtId="0" fontId="10" fillId="0" borderId="78" xfId="1" applyFont="1" applyBorder="1" applyAlignment="1">
      <alignment vertical="center"/>
    </xf>
    <xf numFmtId="0" fontId="10" fillId="0" borderId="79" xfId="1" applyFont="1" applyBorder="1" applyAlignment="1">
      <alignment vertical="center"/>
    </xf>
    <xf numFmtId="0" fontId="10" fillId="0" borderId="80" xfId="1" applyFont="1" applyBorder="1" applyAlignment="1">
      <alignment vertical="center"/>
    </xf>
    <xf numFmtId="0" fontId="10" fillId="0" borderId="81" xfId="1" applyFont="1" applyBorder="1" applyAlignment="1">
      <alignment vertical="center"/>
    </xf>
    <xf numFmtId="0" fontId="12" fillId="0" borderId="53" xfId="1" applyFont="1" applyBorder="1" applyAlignment="1">
      <alignment vertical="center"/>
    </xf>
    <xf numFmtId="0" fontId="12" fillId="0" borderId="4" xfId="1" applyFont="1" applyBorder="1" applyAlignment="1">
      <alignment vertical="center" wrapText="1"/>
    </xf>
    <xf numFmtId="0" fontId="10" fillId="0" borderId="64" xfId="1" applyFont="1" applyBorder="1" applyAlignment="1">
      <alignment horizontal="left" vertical="center"/>
    </xf>
    <xf numFmtId="0" fontId="10" fillId="0" borderId="65" xfId="1" applyFont="1" applyBorder="1" applyAlignment="1">
      <alignment horizontal="left" vertical="center"/>
    </xf>
    <xf numFmtId="9" fontId="12" fillId="0" borderId="83" xfId="4" applyFont="1" applyFill="1" applyBorder="1" applyAlignment="1">
      <alignment horizontal="center" vertical="center"/>
    </xf>
    <xf numFmtId="3" fontId="12" fillId="0" borderId="87" xfId="1" applyNumberFormat="1" applyFont="1" applyBorder="1" applyAlignment="1">
      <alignment horizontal="center" vertical="center"/>
    </xf>
    <xf numFmtId="2" fontId="10" fillId="0" borderId="42" xfId="1" applyNumberFormat="1" applyFont="1" applyBorder="1" applyAlignment="1">
      <alignment vertical="center"/>
    </xf>
    <xf numFmtId="2" fontId="10" fillId="0" borderId="43" xfId="1" applyNumberFormat="1" applyFont="1" applyBorder="1" applyAlignment="1">
      <alignment vertical="center"/>
    </xf>
    <xf numFmtId="2" fontId="10" fillId="0" borderId="44" xfId="1" applyNumberFormat="1" applyFont="1" applyBorder="1" applyAlignment="1">
      <alignment vertical="center"/>
    </xf>
    <xf numFmtId="0" fontId="10" fillId="0" borderId="97" xfId="1" applyFont="1" applyBorder="1" applyAlignment="1">
      <alignment vertical="center"/>
    </xf>
    <xf numFmtId="4" fontId="12" fillId="0" borderId="54" xfId="8" applyNumberFormat="1" applyFont="1" applyBorder="1" applyAlignment="1">
      <alignment horizontal="center" vertical="center"/>
    </xf>
    <xf numFmtId="4" fontId="12" fillId="0" borderId="14" xfId="8" applyNumberFormat="1" applyFont="1" applyBorder="1" applyAlignment="1">
      <alignment horizontal="center" vertical="center"/>
    </xf>
    <xf numFmtId="4" fontId="12" fillId="0" borderId="2" xfId="8" applyNumberFormat="1" applyFont="1" applyBorder="1" applyAlignment="1">
      <alignment horizontal="center" vertical="center"/>
    </xf>
    <xf numFmtId="0" fontId="12" fillId="0" borderId="58" xfId="1" applyFont="1" applyBorder="1" applyAlignment="1">
      <alignment horizontal="center" vertical="center"/>
    </xf>
    <xf numFmtId="0" fontId="12" fillId="0" borderId="48" xfId="1" applyFont="1" applyBorder="1" applyAlignment="1">
      <alignment vertical="center"/>
    </xf>
    <xf numFmtId="0" fontId="12" fillId="0" borderId="49" xfId="1" applyFont="1" applyBorder="1" applyAlignment="1">
      <alignment vertical="center"/>
    </xf>
    <xf numFmtId="0" fontId="14" fillId="0" borderId="8" xfId="1" applyFont="1" applyBorder="1" applyAlignment="1">
      <alignment vertical="center"/>
    </xf>
    <xf numFmtId="0" fontId="14" fillId="0" borderId="16" xfId="1" applyFont="1" applyBorder="1" applyAlignment="1">
      <alignment vertical="center"/>
    </xf>
    <xf numFmtId="0" fontId="14" fillId="0" borderId="9" xfId="1" applyFont="1" applyBorder="1" applyAlignment="1">
      <alignment vertical="center"/>
    </xf>
    <xf numFmtId="0" fontId="14" fillId="0" borderId="12" xfId="1" applyFont="1" applyBorder="1" applyAlignment="1">
      <alignment vertical="center"/>
    </xf>
    <xf numFmtId="0" fontId="14" fillId="0" borderId="17" xfId="1" applyFont="1" applyBorder="1" applyAlignment="1">
      <alignment vertical="center"/>
    </xf>
    <xf numFmtId="0" fontId="14" fillId="0" borderId="13" xfId="1" applyFont="1" applyBorder="1" applyAlignment="1">
      <alignment vertical="center"/>
    </xf>
    <xf numFmtId="2" fontId="11" fillId="0" borderId="82" xfId="1" applyNumberFormat="1" applyFont="1" applyBorder="1" applyAlignment="1">
      <alignment vertical="center"/>
    </xf>
    <xf numFmtId="0" fontId="9" fillId="0" borderId="44" xfId="1" applyFont="1" applyBorder="1" applyAlignment="1">
      <alignment vertical="center"/>
    </xf>
    <xf numFmtId="0" fontId="9" fillId="0" borderId="98" xfId="1" applyFont="1" applyBorder="1" applyAlignment="1">
      <alignment vertical="center"/>
    </xf>
    <xf numFmtId="0" fontId="9" fillId="0" borderId="73" xfId="1" applyFont="1" applyBorder="1" applyAlignment="1">
      <alignment vertical="center"/>
    </xf>
    <xf numFmtId="0" fontId="9" fillId="0" borderId="27" xfId="1" applyFont="1" applyBorder="1" applyAlignment="1">
      <alignment vertical="center"/>
    </xf>
    <xf numFmtId="0" fontId="10" fillId="0" borderId="99" xfId="1" applyFont="1" applyBorder="1" applyAlignment="1">
      <alignment vertical="center"/>
    </xf>
    <xf numFmtId="0" fontId="10" fillId="0" borderId="100" xfId="1" applyFont="1" applyBorder="1" applyAlignment="1">
      <alignment vertical="center"/>
    </xf>
    <xf numFmtId="0" fontId="10" fillId="0" borderId="100" xfId="1" applyFont="1" applyBorder="1" applyAlignment="1">
      <alignment horizontal="left" vertical="center"/>
    </xf>
    <xf numFmtId="0" fontId="10" fillId="0" borderId="101" xfId="1" applyFont="1" applyBorder="1" applyAlignment="1">
      <alignment horizontal="left" vertical="center"/>
    </xf>
    <xf numFmtId="0" fontId="10" fillId="0" borderId="76" xfId="1" applyFont="1" applyBorder="1" applyAlignment="1">
      <alignment horizontal="left" vertical="center"/>
    </xf>
    <xf numFmtId="0" fontId="10" fillId="0" borderId="102" xfId="1" applyFont="1" applyBorder="1" applyAlignment="1">
      <alignment horizontal="left" vertical="center"/>
    </xf>
    <xf numFmtId="0" fontId="9" fillId="0" borderId="48" xfId="1" applyFont="1" applyBorder="1" applyAlignment="1">
      <alignment vertical="center"/>
    </xf>
    <xf numFmtId="0" fontId="9" fillId="0" borderId="82" xfId="1" applyFont="1" applyBorder="1" applyAlignment="1">
      <alignment vertical="center"/>
    </xf>
    <xf numFmtId="0" fontId="10" fillId="0" borderId="103" xfId="1" applyFont="1" applyBorder="1" applyAlignment="1">
      <alignment vertical="center"/>
    </xf>
    <xf numFmtId="0" fontId="11" fillId="0" borderId="104" xfId="1" applyFont="1" applyBorder="1" applyAlignment="1">
      <alignment vertical="center"/>
    </xf>
    <xf numFmtId="165" fontId="10" fillId="0" borderId="73" xfId="1" applyNumberFormat="1" applyFont="1" applyBorder="1" applyAlignment="1">
      <alignment vertical="center"/>
    </xf>
    <xf numFmtId="165" fontId="11" fillId="0" borderId="27" xfId="1" applyNumberFormat="1" applyFont="1" applyBorder="1" applyAlignment="1">
      <alignment vertical="center"/>
    </xf>
    <xf numFmtId="165" fontId="10" fillId="0" borderId="27" xfId="1" quotePrefix="1" applyNumberFormat="1" applyFont="1" applyBorder="1" applyAlignment="1">
      <alignment vertical="center"/>
    </xf>
    <xf numFmtId="165" fontId="10" fillId="0" borderId="76" xfId="1" applyNumberFormat="1" applyFont="1" applyBorder="1" applyAlignment="1">
      <alignment vertical="center"/>
    </xf>
    <xf numFmtId="165" fontId="10" fillId="0" borderId="45" xfId="1" applyNumberFormat="1" applyFont="1" applyBorder="1" applyAlignment="1">
      <alignment vertical="center"/>
    </xf>
    <xf numFmtId="165" fontId="10" fillId="0" borderId="79" xfId="1" applyNumberFormat="1" applyFont="1" applyBorder="1" applyAlignment="1">
      <alignment vertical="center"/>
    </xf>
    <xf numFmtId="41" fontId="10" fillId="0" borderId="18" xfId="2" applyFont="1" applyBorder="1" applyAlignment="1">
      <alignment vertical="center"/>
    </xf>
    <xf numFmtId="41" fontId="12" fillId="0" borderId="62" xfId="2" applyFont="1" applyBorder="1" applyAlignment="1">
      <alignment vertical="center"/>
    </xf>
    <xf numFmtId="41" fontId="12" fillId="0" borderId="63" xfId="2" applyFont="1" applyBorder="1" applyAlignment="1">
      <alignment vertical="center"/>
    </xf>
    <xf numFmtId="41" fontId="12" fillId="0" borderId="48" xfId="2" applyFont="1" applyBorder="1" applyAlignment="1">
      <alignment vertical="center"/>
    </xf>
    <xf numFmtId="0" fontId="1" fillId="0" borderId="0" xfId="1" applyAlignment="1">
      <alignment horizontal="left" vertical="top"/>
    </xf>
    <xf numFmtId="165" fontId="0" fillId="0" borderId="0" xfId="3" applyNumberFormat="1" applyFont="1" applyAlignment="1">
      <alignment horizontal="left" vertical="top"/>
    </xf>
    <xf numFmtId="0" fontId="2" fillId="0" borderId="0" xfId="1" applyFont="1" applyAlignment="1">
      <alignment horizontal="left" vertical="top"/>
    </xf>
    <xf numFmtId="168" fontId="1" fillId="0" borderId="0" xfId="1" applyNumberFormat="1" applyAlignment="1">
      <alignment horizontal="right" vertical="top"/>
    </xf>
    <xf numFmtId="164" fontId="0" fillId="0" borderId="0" xfId="3" applyFont="1" applyAlignment="1">
      <alignment horizontal="left" vertical="top"/>
    </xf>
    <xf numFmtId="0" fontId="17" fillId="0" borderId="2" xfId="1" applyFont="1" applyBorder="1" applyAlignment="1">
      <alignment horizontal="left" vertical="center" wrapText="1"/>
    </xf>
    <xf numFmtId="0" fontId="17" fillId="0" borderId="7" xfId="1" applyFont="1" applyBorder="1" applyAlignment="1">
      <alignment horizontal="left" vertical="center" wrapText="1"/>
    </xf>
    <xf numFmtId="0" fontId="4" fillId="0" borderId="0" xfId="1" applyFont="1"/>
    <xf numFmtId="0" fontId="1" fillId="0" borderId="2" xfId="1" applyBorder="1" applyAlignment="1">
      <alignment horizontal="center" vertical="center" wrapText="1"/>
    </xf>
    <xf numFmtId="0" fontId="1" fillId="0" borderId="0" xfId="1" applyAlignment="1">
      <alignment horizontal="left" vertical="center" wrapText="1" indent="1"/>
    </xf>
    <xf numFmtId="9" fontId="0" fillId="0" borderId="2" xfId="4" applyFont="1" applyFill="1" applyBorder="1" applyAlignment="1">
      <alignment vertical="center"/>
    </xf>
    <xf numFmtId="0" fontId="17" fillId="0" borderId="2" xfId="1" applyFont="1" applyBorder="1" applyAlignment="1">
      <alignment horizontal="left" vertical="center" wrapText="1" indent="1"/>
    </xf>
    <xf numFmtId="0" fontId="1" fillId="7" borderId="2" xfId="1" applyFill="1" applyBorder="1" applyAlignment="1">
      <alignment horizontal="center" vertical="center"/>
    </xf>
    <xf numFmtId="0" fontId="1" fillId="7" borderId="2" xfId="1" applyFill="1" applyBorder="1" applyAlignment="1">
      <alignment horizontal="center"/>
    </xf>
    <xf numFmtId="165" fontId="0" fillId="7" borderId="2" xfId="3" applyNumberFormat="1" applyFont="1" applyFill="1" applyBorder="1" applyAlignment="1">
      <alignment vertical="center"/>
    </xf>
    <xf numFmtId="0" fontId="17" fillId="7" borderId="2" xfId="1" applyFont="1" applyFill="1" applyBorder="1" applyAlignment="1">
      <alignment horizontal="left" vertical="center" wrapText="1"/>
    </xf>
    <xf numFmtId="165" fontId="0" fillId="0" borderId="2" xfId="3" applyNumberFormat="1" applyFont="1" applyBorder="1" applyAlignment="1">
      <alignment vertical="center"/>
    </xf>
    <xf numFmtId="0" fontId="1" fillId="0" borderId="2" xfId="1" applyBorder="1" applyAlignment="1">
      <alignment horizontal="left" vertical="center"/>
    </xf>
    <xf numFmtId="0" fontId="17" fillId="0" borderId="2" xfId="1" applyFont="1" applyBorder="1" applyAlignment="1">
      <alignment horizontal="left" vertical="center" wrapText="1" indent="3"/>
    </xf>
    <xf numFmtId="165" fontId="0" fillId="0" borderId="2" xfId="3" applyNumberFormat="1" applyFont="1" applyFill="1" applyBorder="1"/>
    <xf numFmtId="165" fontId="1" fillId="0" borderId="2" xfId="1" applyNumberFormat="1" applyBorder="1"/>
    <xf numFmtId="0" fontId="17" fillId="0" borderId="2" xfId="1" applyFont="1" applyBorder="1" applyAlignment="1">
      <alignment horizontal="left" indent="1"/>
    </xf>
    <xf numFmtId="0" fontId="17" fillId="0" borderId="2" xfId="1" applyFont="1" applyBorder="1"/>
    <xf numFmtId="0" fontId="19" fillId="0" borderId="34" xfId="1" applyFont="1" applyBorder="1" applyAlignment="1">
      <alignment horizontal="left" vertical="center" wrapText="1"/>
    </xf>
    <xf numFmtId="0" fontId="19" fillId="0" borderId="7" xfId="1" applyFont="1" applyBorder="1" applyAlignment="1">
      <alignment horizontal="left" vertical="center" wrapText="1"/>
    </xf>
    <xf numFmtId="169" fontId="4" fillId="0" borderId="2" xfId="1" applyNumberFormat="1" applyFont="1" applyBorder="1"/>
    <xf numFmtId="0" fontId="4" fillId="0" borderId="2" xfId="1" applyFont="1" applyBorder="1" applyAlignment="1">
      <alignment horizontal="center"/>
    </xf>
    <xf numFmtId="0" fontId="4" fillId="0" borderId="2" xfId="1" applyFont="1" applyBorder="1" applyAlignment="1">
      <alignment horizontal="center" vertical="center"/>
    </xf>
    <xf numFmtId="0" fontId="4" fillId="0" borderId="2" xfId="1" applyFont="1" applyBorder="1" applyAlignment="1">
      <alignment horizontal="left" vertical="center"/>
    </xf>
    <xf numFmtId="165" fontId="12" fillId="0" borderId="44" xfId="1" applyNumberFormat="1" applyFont="1" applyBorder="1" applyAlignment="1">
      <alignment horizontal="center" vertical="center"/>
    </xf>
    <xf numFmtId="165" fontId="12" fillId="0" borderId="18" xfId="1" applyNumberFormat="1" applyFont="1" applyBorder="1" applyAlignment="1">
      <alignment horizontal="center" vertical="center"/>
    </xf>
    <xf numFmtId="165" fontId="10" fillId="0" borderId="44" xfId="1" applyNumberFormat="1" applyFont="1" applyBorder="1" applyAlignment="1">
      <alignment vertical="center"/>
    </xf>
    <xf numFmtId="165" fontId="10" fillId="0" borderId="27" xfId="1" applyNumberFormat="1" applyFont="1" applyBorder="1" applyAlignment="1">
      <alignment vertical="center"/>
    </xf>
    <xf numFmtId="165" fontId="10" fillId="0" borderId="18" xfId="1" applyNumberFormat="1" applyFont="1" applyBorder="1" applyAlignment="1">
      <alignment vertical="center"/>
    </xf>
    <xf numFmtId="0" fontId="5" fillId="0" borderId="13" xfId="1" applyFont="1" applyBorder="1"/>
    <xf numFmtId="0" fontId="1" fillId="0" borderId="17" xfId="1" applyBorder="1"/>
    <xf numFmtId="0" fontId="1" fillId="0" borderId="17" xfId="1" applyBorder="1" applyAlignment="1">
      <alignment horizontal="center" vertical="center"/>
    </xf>
    <xf numFmtId="0" fontId="1" fillId="0" borderId="12" xfId="1" applyBorder="1" applyAlignment="1">
      <alignment horizontal="center" vertical="center"/>
    </xf>
    <xf numFmtId="0" fontId="1" fillId="0" borderId="11" xfId="1" applyBorder="1"/>
    <xf numFmtId="0" fontId="1" fillId="0" borderId="0" xfId="1" applyBorder="1" applyAlignment="1">
      <alignment horizontal="center" vertical="center"/>
    </xf>
    <xf numFmtId="0" fontId="1" fillId="0" borderId="10" xfId="1" applyBorder="1" applyAlignment="1">
      <alignment horizontal="center" vertical="center"/>
    </xf>
    <xf numFmtId="43" fontId="1" fillId="0" borderId="0" xfId="1" applyNumberFormat="1" applyBorder="1"/>
    <xf numFmtId="41" fontId="6" fillId="0" borderId="11" xfId="11" applyFont="1" applyBorder="1"/>
    <xf numFmtId="41" fontId="1" fillId="0" borderId="0" xfId="11" applyFont="1" applyBorder="1" applyAlignment="1">
      <alignment horizontal="center" vertical="center"/>
    </xf>
    <xf numFmtId="41" fontId="1" fillId="0" borderId="10" xfId="11" applyFont="1" applyBorder="1" applyAlignment="1">
      <alignment horizontal="center" vertical="center"/>
    </xf>
    <xf numFmtId="0" fontId="1" fillId="0" borderId="9" xfId="1" applyBorder="1"/>
    <xf numFmtId="41" fontId="1" fillId="0" borderId="16" xfId="11" applyFont="1" applyBorder="1"/>
    <xf numFmtId="41" fontId="1" fillId="0" borderId="16" xfId="11" applyFont="1" applyBorder="1" applyAlignment="1">
      <alignment horizontal="center" vertical="center"/>
    </xf>
    <xf numFmtId="41" fontId="1" fillId="0" borderId="8" xfId="11" applyFont="1" applyBorder="1" applyAlignment="1">
      <alignment horizontal="center" vertical="center"/>
    </xf>
    <xf numFmtId="0" fontId="22" fillId="0" borderId="2" xfId="1" applyFont="1" applyBorder="1" applyAlignment="1">
      <alignment horizontal="left" vertical="center" wrapText="1"/>
    </xf>
    <xf numFmtId="41" fontId="12" fillId="0" borderId="5" xfId="1" applyNumberFormat="1" applyFont="1" applyBorder="1" applyAlignment="1">
      <alignment horizontal="center" vertical="center"/>
    </xf>
    <xf numFmtId="167" fontId="12" fillId="0" borderId="2" xfId="2" applyNumberFormat="1" applyFont="1" applyBorder="1" applyAlignment="1">
      <alignment horizontal="center" vertical="center"/>
    </xf>
    <xf numFmtId="0" fontId="10" fillId="0" borderId="18" xfId="12" applyFont="1" applyBorder="1" applyAlignment="1">
      <alignment vertical="center"/>
    </xf>
    <xf numFmtId="0" fontId="10" fillId="0" borderId="18" xfId="12" applyFont="1" applyBorder="1" applyAlignment="1">
      <alignment vertical="center" wrapText="1"/>
    </xf>
    <xf numFmtId="0" fontId="10" fillId="0" borderId="18" xfId="12" applyFont="1" applyBorder="1" applyAlignment="1">
      <alignment horizontal="center" vertical="center"/>
    </xf>
    <xf numFmtId="0" fontId="10" fillId="0" borderId="50" xfId="12" applyFont="1" applyBorder="1" applyAlignment="1">
      <alignment vertical="center"/>
    </xf>
    <xf numFmtId="10" fontId="10" fillId="0" borderId="18" xfId="12" applyNumberFormat="1" applyFont="1" applyBorder="1" applyAlignment="1">
      <alignment horizontal="center" vertical="center"/>
    </xf>
    <xf numFmtId="0" fontId="10" fillId="0" borderId="19" xfId="12" applyFont="1" applyBorder="1" applyAlignment="1">
      <alignment vertical="center"/>
    </xf>
    <xf numFmtId="0" fontId="10" fillId="0" borderId="44" xfId="12" applyFont="1" applyBorder="1" applyAlignment="1">
      <alignment vertical="center" wrapText="1"/>
    </xf>
    <xf numFmtId="0" fontId="10" fillId="0" borderId="44" xfId="12" applyFont="1" applyBorder="1" applyAlignment="1">
      <alignment vertical="center"/>
    </xf>
    <xf numFmtId="0" fontId="10" fillId="0" borderId="98" xfId="12" applyFont="1" applyBorder="1" applyAlignment="1">
      <alignment vertical="center"/>
    </xf>
    <xf numFmtId="168" fontId="12" fillId="0" borderId="2" xfId="12" applyNumberFormat="1" applyFont="1" applyBorder="1" applyAlignment="1">
      <alignment horizontal="center" vertical="center"/>
    </xf>
    <xf numFmtId="0" fontId="12" fillId="0" borderId="2" xfId="12" applyFont="1" applyBorder="1" applyAlignment="1">
      <alignment horizontal="center" vertical="center"/>
    </xf>
    <xf numFmtId="0" fontId="10" fillId="0" borderId="111" xfId="12" applyFont="1" applyBorder="1" applyAlignment="1">
      <alignment vertical="center"/>
    </xf>
    <xf numFmtId="2" fontId="10" fillId="0" borderId="2" xfId="1" applyNumberFormat="1" applyFont="1" applyBorder="1" applyAlignment="1">
      <alignment horizontal="center" vertical="center"/>
    </xf>
    <xf numFmtId="2" fontId="10" fillId="0" borderId="2" xfId="1" applyNumberFormat="1" applyFont="1" applyBorder="1" applyAlignment="1">
      <alignment horizontal="center" vertical="center" wrapText="1"/>
    </xf>
    <xf numFmtId="0" fontId="10" fillId="0" borderId="2" xfId="1" applyFont="1" applyBorder="1" applyAlignment="1">
      <alignment horizontal="center" vertical="center" wrapText="1"/>
    </xf>
    <xf numFmtId="0" fontId="10" fillId="0" borderId="4" xfId="1" applyFont="1" applyBorder="1" applyAlignment="1">
      <alignment horizontal="center" vertical="center"/>
    </xf>
    <xf numFmtId="9" fontId="10" fillId="0" borderId="2" xfId="4" applyFont="1" applyFill="1" applyBorder="1" applyAlignment="1">
      <alignment horizontal="center" vertical="center"/>
    </xf>
    <xf numFmtId="10" fontId="10" fillId="0" borderId="2" xfId="4" applyNumberFormat="1" applyFont="1" applyFill="1" applyBorder="1" applyAlignment="1">
      <alignment horizontal="center" vertical="center"/>
    </xf>
    <xf numFmtId="170" fontId="10" fillId="0" borderId="2" xfId="4" applyNumberFormat="1" applyFont="1" applyFill="1" applyBorder="1" applyAlignment="1">
      <alignment horizontal="center" vertical="center" wrapText="1"/>
    </xf>
    <xf numFmtId="0" fontId="12" fillId="0" borderId="2" xfId="1" applyFont="1" applyBorder="1" applyAlignment="1">
      <alignment horizontal="center" vertical="center" wrapText="1"/>
    </xf>
    <xf numFmtId="0" fontId="10" fillId="0" borderId="48" xfId="12" applyFont="1" applyBorder="1" applyAlignment="1">
      <alignment vertical="center" wrapText="1"/>
    </xf>
    <xf numFmtId="0" fontId="10" fillId="0" borderId="48" xfId="12" applyFont="1" applyBorder="1" applyAlignment="1">
      <alignment vertical="center"/>
    </xf>
    <xf numFmtId="0" fontId="10" fillId="0" borderId="82" xfId="12" applyFont="1" applyBorder="1" applyAlignment="1">
      <alignment horizontal="center" vertical="center"/>
    </xf>
    <xf numFmtId="0" fontId="12" fillId="0" borderId="4" xfId="12" applyFont="1" applyBorder="1" applyAlignment="1">
      <alignment vertical="center"/>
    </xf>
    <xf numFmtId="2" fontId="10" fillId="0" borderId="40" xfId="1" applyNumberFormat="1" applyFont="1" applyBorder="1" applyAlignment="1">
      <alignment horizontal="center" vertical="center"/>
    </xf>
    <xf numFmtId="2" fontId="10" fillId="0" borderId="40" xfId="1" applyNumberFormat="1" applyFont="1" applyBorder="1" applyAlignment="1">
      <alignment horizontal="center" vertical="center" wrapText="1"/>
    </xf>
    <xf numFmtId="0" fontId="10" fillId="0" borderId="112" xfId="1" applyFont="1" applyBorder="1" applyAlignment="1">
      <alignment horizontal="center" vertical="center"/>
    </xf>
    <xf numFmtId="0" fontId="10" fillId="0" borderId="112" xfId="1" applyFont="1" applyBorder="1" applyAlignment="1">
      <alignment horizontal="center" vertical="center" wrapText="1"/>
    </xf>
    <xf numFmtId="0" fontId="10" fillId="0" borderId="40" xfId="1" applyFont="1" applyBorder="1" applyAlignment="1">
      <alignment horizontal="center" vertical="center"/>
    </xf>
    <xf numFmtId="9" fontId="10" fillId="0" borderId="40" xfId="4" applyFont="1" applyFill="1" applyBorder="1" applyAlignment="1">
      <alignment horizontal="center" vertical="center"/>
    </xf>
    <xf numFmtId="0" fontId="10" fillId="0" borderId="40" xfId="1" applyFont="1" applyBorder="1" applyAlignment="1">
      <alignment horizontal="center" vertical="center" wrapText="1"/>
    </xf>
    <xf numFmtId="10" fontId="10" fillId="0" borderId="40" xfId="4" applyNumberFormat="1" applyFont="1" applyFill="1" applyBorder="1" applyAlignment="1">
      <alignment horizontal="center" vertical="center"/>
    </xf>
    <xf numFmtId="170" fontId="10" fillId="0" borderId="40" xfId="4" applyNumberFormat="1" applyFont="1" applyFill="1" applyBorder="1" applyAlignment="1">
      <alignment horizontal="center" vertical="center" wrapText="1"/>
    </xf>
    <xf numFmtId="0" fontId="10" fillId="0" borderId="40" xfId="1" applyFont="1" applyBorder="1" applyAlignment="1">
      <alignment vertical="center"/>
    </xf>
    <xf numFmtId="0" fontId="12" fillId="0" borderId="40" xfId="1" applyFont="1" applyBorder="1" applyAlignment="1">
      <alignment horizontal="center" vertical="center"/>
    </xf>
    <xf numFmtId="0" fontId="12" fillId="0" borderId="40" xfId="1" applyFont="1" applyBorder="1" applyAlignment="1">
      <alignment horizontal="center" vertical="center" wrapText="1"/>
    </xf>
    <xf numFmtId="0" fontId="12" fillId="0" borderId="40" xfId="1" applyFont="1" applyBorder="1" applyAlignment="1">
      <alignment vertical="center"/>
    </xf>
    <xf numFmtId="0" fontId="12" fillId="0" borderId="40" xfId="12" applyFont="1" applyBorder="1" applyAlignment="1">
      <alignment vertical="center"/>
    </xf>
    <xf numFmtId="0" fontId="10" fillId="0" borderId="49" xfId="12" applyFont="1" applyBorder="1" applyAlignment="1">
      <alignment vertical="center"/>
    </xf>
    <xf numFmtId="0" fontId="10" fillId="0" borderId="44" xfId="12" applyFont="1" applyBorder="1" applyAlignment="1">
      <alignment horizontal="center" vertical="center"/>
    </xf>
    <xf numFmtId="0" fontId="10" fillId="0" borderId="18" xfId="12" applyFont="1" applyBorder="1" applyAlignment="1">
      <alignment horizontal="center" vertical="center" wrapText="1"/>
    </xf>
    <xf numFmtId="0" fontId="10" fillId="0" borderId="50" xfId="12" applyFont="1" applyBorder="1" applyAlignment="1">
      <alignment horizontal="center" vertical="center"/>
    </xf>
    <xf numFmtId="0" fontId="10" fillId="0" borderId="44" xfId="12" applyFont="1" applyBorder="1" applyAlignment="1">
      <alignment horizontal="center" vertical="center" wrapText="1"/>
    </xf>
    <xf numFmtId="0" fontId="10" fillId="0" borderId="98" xfId="12" applyFont="1" applyBorder="1" applyAlignment="1">
      <alignment horizontal="center" vertical="center"/>
    </xf>
    <xf numFmtId="0" fontId="10" fillId="0" borderId="111" xfId="12" applyFont="1" applyBorder="1" applyAlignment="1">
      <alignment horizontal="center" vertical="center"/>
    </xf>
    <xf numFmtId="0" fontId="10" fillId="0" borderId="19" xfId="12" applyFont="1" applyBorder="1" applyAlignment="1">
      <alignment horizontal="center" vertical="center"/>
    </xf>
    <xf numFmtId="2" fontId="10" fillId="0" borderId="3" xfId="1" applyNumberFormat="1" applyFont="1" applyBorder="1" applyAlignment="1">
      <alignment horizontal="center" vertical="center"/>
    </xf>
    <xf numFmtId="0" fontId="10" fillId="0" borderId="39" xfId="1" applyFont="1" applyBorder="1" applyAlignment="1">
      <alignment horizontal="center" vertical="center"/>
    </xf>
    <xf numFmtId="0" fontId="12" fillId="0" borderId="4" xfId="1" applyFont="1" applyBorder="1" applyAlignment="1">
      <alignment horizontal="center" vertical="center"/>
    </xf>
    <xf numFmtId="0" fontId="10" fillId="0" borderId="48" xfId="12" applyFont="1" applyBorder="1" applyAlignment="1">
      <alignment horizontal="center" vertical="center" wrapText="1"/>
    </xf>
    <xf numFmtId="0" fontId="10" fillId="0" borderId="48" xfId="12" applyFont="1" applyBorder="1" applyAlignment="1">
      <alignment horizontal="center" vertical="center"/>
    </xf>
    <xf numFmtId="0" fontId="12" fillId="0" borderId="4" xfId="12" applyFont="1" applyBorder="1" applyAlignment="1">
      <alignment horizontal="left" vertical="center"/>
    </xf>
    <xf numFmtId="0" fontId="10" fillId="0" borderId="113" xfId="12" applyFont="1" applyBorder="1" applyAlignment="1">
      <alignment horizontal="center" vertical="center"/>
    </xf>
    <xf numFmtId="0" fontId="12" fillId="0" borderId="4" xfId="1" applyFont="1" applyBorder="1" applyAlignment="1">
      <alignment horizontal="left" vertical="center"/>
    </xf>
    <xf numFmtId="0" fontId="10" fillId="0" borderId="73" xfId="1" applyFont="1" applyBorder="1" applyAlignment="1">
      <alignment horizontal="center" vertical="center"/>
    </xf>
    <xf numFmtId="0" fontId="10" fillId="0" borderId="101" xfId="1" applyFont="1" applyBorder="1" applyAlignment="1">
      <alignment vertical="center"/>
    </xf>
    <xf numFmtId="0" fontId="10" fillId="0" borderId="64" xfId="12" applyFont="1" applyBorder="1" applyAlignment="1">
      <alignment vertical="center"/>
    </xf>
    <xf numFmtId="0" fontId="10" fillId="0" borderId="64" xfId="12" applyFont="1" applyBorder="1" applyAlignment="1">
      <alignment vertical="center" wrapText="1"/>
    </xf>
    <xf numFmtId="9" fontId="10" fillId="0" borderId="97" xfId="12" applyNumberFormat="1" applyFont="1" applyBorder="1" applyAlignment="1">
      <alignment horizontal="center" vertical="center"/>
    </xf>
    <xf numFmtId="9" fontId="10" fillId="0" borderId="64" xfId="12" applyNumberFormat="1" applyFont="1" applyBorder="1" applyAlignment="1">
      <alignment vertical="center"/>
    </xf>
    <xf numFmtId="9" fontId="10" fillId="0" borderId="64" xfId="12" applyNumberFormat="1" applyFont="1" applyBorder="1" applyAlignment="1">
      <alignment horizontal="center" vertical="center"/>
    </xf>
    <xf numFmtId="0" fontId="12" fillId="0" borderId="65" xfId="1" applyFont="1" applyBorder="1" applyAlignment="1">
      <alignment vertical="center"/>
    </xf>
    <xf numFmtId="0" fontId="10" fillId="0" borderId="20" xfId="12" applyFont="1" applyBorder="1" applyAlignment="1">
      <alignment vertical="center"/>
    </xf>
    <xf numFmtId="0" fontId="10" fillId="0" borderId="22" xfId="12" applyFont="1" applyBorder="1" applyAlignment="1">
      <alignment vertical="center" wrapText="1"/>
    </xf>
    <xf numFmtId="0" fontId="10" fillId="0" borderId="22" xfId="12" applyFont="1" applyBorder="1" applyAlignment="1">
      <alignment vertical="center"/>
    </xf>
    <xf numFmtId="9" fontId="10" fillId="0" borderId="21" xfId="12" applyNumberFormat="1" applyFont="1" applyBorder="1" applyAlignment="1">
      <alignment horizontal="center" vertical="center"/>
    </xf>
    <xf numFmtId="9" fontId="10" fillId="0" borderId="22" xfId="12" applyNumberFormat="1" applyFont="1" applyBorder="1" applyAlignment="1">
      <alignment vertical="center"/>
    </xf>
    <xf numFmtId="9" fontId="10" fillId="0" borderId="22" xfId="12" applyNumberFormat="1" applyFont="1" applyBorder="1" applyAlignment="1">
      <alignment horizontal="center" vertical="center"/>
    </xf>
    <xf numFmtId="0" fontId="10" fillId="0" borderId="114" xfId="1" applyFont="1" applyBorder="1" applyAlignment="1">
      <alignment vertical="center"/>
    </xf>
    <xf numFmtId="0" fontId="10" fillId="0" borderId="25" xfId="12" applyFont="1" applyBorder="1" applyAlignment="1">
      <alignment vertical="center"/>
    </xf>
    <xf numFmtId="9" fontId="10" fillId="0" borderId="26" xfId="12" applyNumberFormat="1" applyFont="1" applyBorder="1" applyAlignment="1">
      <alignment horizontal="center" vertical="center"/>
    </xf>
    <xf numFmtId="9" fontId="10" fillId="0" borderId="18" xfId="12" applyNumberFormat="1" applyFont="1" applyBorder="1" applyAlignment="1">
      <alignment vertical="center"/>
    </xf>
    <xf numFmtId="9" fontId="10" fillId="0" borderId="18" xfId="12" applyNumberFormat="1" applyFont="1" applyBorder="1" applyAlignment="1">
      <alignment horizontal="center" vertical="center"/>
    </xf>
    <xf numFmtId="0" fontId="10" fillId="0" borderId="50" xfId="1" applyFont="1" applyBorder="1" applyAlignment="1">
      <alignment vertical="center"/>
    </xf>
    <xf numFmtId="0" fontId="10" fillId="0" borderId="115" xfId="12" applyFont="1" applyBorder="1" applyAlignment="1">
      <alignment vertical="center"/>
    </xf>
    <xf numFmtId="0" fontId="10" fillId="0" borderId="116" xfId="12" applyFont="1" applyBorder="1" applyAlignment="1">
      <alignment vertical="center" wrapText="1"/>
    </xf>
    <xf numFmtId="0" fontId="10" fillId="0" borderId="116" xfId="12" applyFont="1" applyBorder="1" applyAlignment="1">
      <alignment vertical="center"/>
    </xf>
    <xf numFmtId="9" fontId="10" fillId="0" borderId="117" xfId="12" applyNumberFormat="1" applyFont="1" applyBorder="1" applyAlignment="1">
      <alignment horizontal="center" vertical="center"/>
    </xf>
    <xf numFmtId="9" fontId="10" fillId="0" borderId="116" xfId="12" applyNumberFormat="1" applyFont="1" applyBorder="1" applyAlignment="1">
      <alignment vertical="center"/>
    </xf>
    <xf numFmtId="9" fontId="10" fillId="0" borderId="116" xfId="12" applyNumberFormat="1" applyFont="1" applyBorder="1" applyAlignment="1">
      <alignment horizontal="center" vertical="center"/>
    </xf>
    <xf numFmtId="0" fontId="12" fillId="0" borderId="118" xfId="1" applyFont="1" applyBorder="1" applyAlignment="1">
      <alignment vertical="center"/>
    </xf>
    <xf numFmtId="0" fontId="10" fillId="0" borderId="119" xfId="12" applyFont="1" applyBorder="1" applyAlignment="1">
      <alignment vertical="center"/>
    </xf>
    <xf numFmtId="0" fontId="10" fillId="0" borderId="40" xfId="12" applyFont="1" applyBorder="1" applyAlignment="1">
      <alignment vertical="center"/>
    </xf>
    <xf numFmtId="0" fontId="10" fillId="34" borderId="40" xfId="12" applyFont="1" applyFill="1" applyBorder="1" applyAlignment="1">
      <alignment horizontal="center" vertical="center"/>
    </xf>
    <xf numFmtId="10" fontId="10" fillId="34" borderId="40" xfId="4" applyNumberFormat="1" applyFont="1" applyFill="1" applyBorder="1" applyAlignment="1">
      <alignment horizontal="center" vertical="center"/>
    </xf>
    <xf numFmtId="0" fontId="10" fillId="34" borderId="40" xfId="12" applyFont="1" applyFill="1" applyBorder="1" applyAlignment="1">
      <alignment horizontal="left" vertical="center"/>
    </xf>
    <xf numFmtId="0" fontId="10" fillId="0" borderId="120" xfId="12" applyFont="1" applyBorder="1" applyAlignment="1">
      <alignment vertical="center"/>
    </xf>
    <xf numFmtId="9" fontId="10" fillId="0" borderId="40" xfId="12" applyNumberFormat="1" applyFont="1" applyBorder="1" applyAlignment="1">
      <alignment horizontal="center" vertical="center" wrapText="1"/>
    </xf>
    <xf numFmtId="10" fontId="10" fillId="0" borderId="40" xfId="12" applyNumberFormat="1" applyFont="1" applyBorder="1" applyAlignment="1">
      <alignment horizontal="center" vertical="center"/>
    </xf>
    <xf numFmtId="0" fontId="10" fillId="0" borderId="40" xfId="12" applyFont="1" applyBorder="1" applyAlignment="1">
      <alignment horizontal="left" vertical="center" wrapText="1"/>
    </xf>
    <xf numFmtId="0" fontId="10" fillId="0" borderId="40" xfId="12" applyFont="1" applyBorder="1" applyAlignment="1">
      <alignment horizontal="center" vertical="center" wrapText="1"/>
    </xf>
    <xf numFmtId="0" fontId="12" fillId="0" borderId="120" xfId="12" applyFont="1" applyBorder="1" applyAlignment="1">
      <alignment vertical="center"/>
    </xf>
    <xf numFmtId="0" fontId="10" fillId="0" borderId="0" xfId="1" applyFont="1" applyAlignment="1">
      <alignment vertical="center"/>
    </xf>
    <xf numFmtId="0" fontId="10" fillId="0" borderId="121" xfId="12" applyFont="1" applyBorder="1" applyAlignment="1">
      <alignment horizontal="center" vertical="center" wrapText="1"/>
    </xf>
    <xf numFmtId="10" fontId="10" fillId="0" borderId="121" xfId="12" applyNumberFormat="1" applyFont="1" applyBorder="1" applyAlignment="1">
      <alignment horizontal="center" vertical="center"/>
    </xf>
    <xf numFmtId="0" fontId="10" fillId="0" borderId="121" xfId="12" applyFont="1" applyBorder="1" applyAlignment="1">
      <alignment horizontal="left" vertical="center" wrapText="1"/>
    </xf>
    <xf numFmtId="9" fontId="10" fillId="0" borderId="40" xfId="4" applyFont="1" applyFill="1" applyBorder="1" applyAlignment="1">
      <alignment horizontal="center" vertical="center" wrapText="1"/>
    </xf>
    <xf numFmtId="9" fontId="10" fillId="0" borderId="40" xfId="12" applyNumberFormat="1" applyFont="1" applyBorder="1" applyAlignment="1">
      <alignment horizontal="center" vertical="center"/>
    </xf>
    <xf numFmtId="9" fontId="10" fillId="0" borderId="112" xfId="12" applyNumberFormat="1" applyFont="1" applyBorder="1" applyAlignment="1">
      <alignment horizontal="center" vertical="center"/>
    </xf>
    <xf numFmtId="49" fontId="10" fillId="0" borderId="112" xfId="12" applyNumberFormat="1" applyFont="1" applyBorder="1" applyAlignment="1">
      <alignment horizontal="center" vertical="center"/>
    </xf>
    <xf numFmtId="0" fontId="10" fillId="0" borderId="112" xfId="12" applyFont="1" applyBorder="1" applyAlignment="1">
      <alignment vertical="center" wrapText="1"/>
    </xf>
    <xf numFmtId="0" fontId="12" fillId="0" borderId="40" xfId="12" applyFont="1" applyBorder="1" applyAlignment="1">
      <alignment horizontal="center" vertical="center" wrapText="1"/>
    </xf>
    <xf numFmtId="0" fontId="39" fillId="0" borderId="40" xfId="112" applyFont="1" applyBorder="1" applyAlignment="1">
      <alignment horizontal="left" vertical="center" wrapText="1"/>
    </xf>
    <xf numFmtId="0" fontId="12" fillId="0" borderId="40" xfId="12" applyFont="1" applyBorder="1" applyAlignment="1">
      <alignment horizontal="center" vertical="center"/>
    </xf>
    <xf numFmtId="0" fontId="10" fillId="0" borderId="40" xfId="12" applyFont="1" applyBorder="1" applyAlignment="1">
      <alignment horizontal="left" vertical="center"/>
    </xf>
    <xf numFmtId="166" fontId="10" fillId="0" borderId="40" xfId="4" applyNumberFormat="1" applyFont="1" applyBorder="1" applyAlignment="1">
      <alignment horizontal="center" vertical="center"/>
    </xf>
    <xf numFmtId="49" fontId="10" fillId="0" borderId="40" xfId="12" applyNumberFormat="1" applyFont="1" applyBorder="1" applyAlignment="1">
      <alignment horizontal="center" vertical="center"/>
    </xf>
    <xf numFmtId="0" fontId="10" fillId="0" borderId="40" xfId="12" applyFont="1" applyBorder="1" applyAlignment="1">
      <alignment vertical="center" wrapText="1"/>
    </xf>
    <xf numFmtId="0" fontId="10" fillId="0" borderId="40" xfId="12" applyFont="1" applyBorder="1" applyAlignment="1">
      <alignment horizontal="center"/>
    </xf>
    <xf numFmtId="9" fontId="10" fillId="0" borderId="40" xfId="4" applyFont="1" applyBorder="1" applyAlignment="1">
      <alignment horizontal="center" vertical="center"/>
    </xf>
    <xf numFmtId="0" fontId="10" fillId="0" borderId="40" xfId="12" applyFont="1" applyBorder="1" applyAlignment="1">
      <alignment horizontal="center" vertical="center"/>
    </xf>
    <xf numFmtId="0" fontId="10" fillId="0" borderId="122" xfId="12" applyFont="1" applyBorder="1" applyAlignment="1">
      <alignment horizontal="center" vertical="center"/>
    </xf>
    <xf numFmtId="0" fontId="9" fillId="0" borderId="18" xfId="12" applyFont="1" applyBorder="1" applyAlignment="1">
      <alignment vertical="center"/>
    </xf>
    <xf numFmtId="0" fontId="9" fillId="0" borderId="18" xfId="12" applyFont="1" applyBorder="1" applyAlignment="1">
      <alignment horizontal="center" vertical="center"/>
    </xf>
    <xf numFmtId="4" fontId="9" fillId="0" borderId="18" xfId="12" applyNumberFormat="1" applyFont="1" applyBorder="1" applyAlignment="1">
      <alignment vertical="center"/>
    </xf>
    <xf numFmtId="0" fontId="9" fillId="0" borderId="50" xfId="12" applyFont="1" applyBorder="1" applyAlignment="1">
      <alignment vertical="center"/>
    </xf>
    <xf numFmtId="2" fontId="9" fillId="0" borderId="18" xfId="12" applyNumberFormat="1" applyFont="1" applyBorder="1" applyAlignment="1">
      <alignment horizontal="center" vertical="center"/>
    </xf>
    <xf numFmtId="0" fontId="62" fillId="0" borderId="50" xfId="12" applyFont="1" applyBorder="1" applyAlignment="1">
      <alignment vertical="center"/>
    </xf>
    <xf numFmtId="0" fontId="10" fillId="0" borderId="51" xfId="12" applyFont="1" applyBorder="1" applyAlignment="1">
      <alignment vertical="center"/>
    </xf>
    <xf numFmtId="0" fontId="9" fillId="0" borderId="19" xfId="12" applyFont="1" applyBorder="1" applyAlignment="1">
      <alignment vertical="center"/>
    </xf>
    <xf numFmtId="0" fontId="10" fillId="0" borderId="129" xfId="12" applyFont="1" applyBorder="1" applyAlignment="1">
      <alignment horizontal="center" vertical="center"/>
    </xf>
    <xf numFmtId="4" fontId="10" fillId="0" borderId="130" xfId="12" applyNumberFormat="1" applyFont="1" applyBorder="1" applyAlignment="1">
      <alignment vertical="center"/>
    </xf>
    <xf numFmtId="0" fontId="10" fillId="0" borderId="131" xfId="12" applyFont="1" applyBorder="1" applyAlignment="1">
      <alignment vertical="center"/>
    </xf>
    <xf numFmtId="0" fontId="10" fillId="0" borderId="132" xfId="12" applyFont="1" applyBorder="1" applyAlignment="1">
      <alignment horizontal="center" vertical="center"/>
    </xf>
    <xf numFmtId="4" fontId="10" fillId="0" borderId="18" xfId="12" applyNumberFormat="1" applyFont="1" applyBorder="1" applyAlignment="1">
      <alignment vertical="center"/>
    </xf>
    <xf numFmtId="0" fontId="12" fillId="0" borderId="18" xfId="12" applyFont="1" applyBorder="1" applyAlignment="1">
      <alignment vertical="center"/>
    </xf>
    <xf numFmtId="0" fontId="10" fillId="0" borderId="133" xfId="12" applyFont="1" applyBorder="1" applyAlignment="1">
      <alignment horizontal="center" vertical="center"/>
    </xf>
    <xf numFmtId="0" fontId="10" fillId="0" borderId="68" xfId="12" applyFont="1" applyBorder="1" applyAlignment="1">
      <alignment vertical="center"/>
    </xf>
    <xf numFmtId="0" fontId="10" fillId="0" borderId="134" xfId="12" applyFont="1" applyBorder="1" applyAlignment="1">
      <alignment vertical="center"/>
    </xf>
    <xf numFmtId="0" fontId="9" fillId="0" borderId="48" xfId="12" applyFont="1" applyBorder="1" applyAlignment="1">
      <alignment horizontal="center" vertical="center"/>
    </xf>
    <xf numFmtId="0" fontId="9" fillId="0" borderId="48" xfId="12" applyFont="1" applyBorder="1" applyAlignment="1">
      <alignment vertical="center"/>
    </xf>
    <xf numFmtId="0" fontId="9" fillId="0" borderId="49" xfId="12" applyFont="1" applyBorder="1" applyAlignment="1">
      <alignment vertical="center"/>
    </xf>
    <xf numFmtId="0" fontId="62" fillId="0" borderId="19" xfId="12" applyFont="1" applyBorder="1" applyAlignment="1">
      <alignment vertical="center"/>
    </xf>
    <xf numFmtId="0" fontId="10" fillId="0" borderId="2" xfId="12" applyFont="1" applyBorder="1" applyAlignment="1">
      <alignment horizontal="center" vertical="center"/>
    </xf>
    <xf numFmtId="0" fontId="10" fillId="0" borderId="4" xfId="12" applyFont="1" applyBorder="1" applyAlignment="1">
      <alignment vertical="center" wrapText="1"/>
    </xf>
    <xf numFmtId="9" fontId="12" fillId="0" borderId="2" xfId="12" applyNumberFormat="1" applyFont="1" applyBorder="1" applyAlignment="1">
      <alignment horizontal="center" vertical="center"/>
    </xf>
    <xf numFmtId="168" fontId="12" fillId="0" borderId="2" xfId="1" applyNumberFormat="1" applyFont="1" applyBorder="1" applyAlignment="1">
      <alignment horizontal="center" vertical="center"/>
    </xf>
    <xf numFmtId="168" fontId="10" fillId="0" borderId="4" xfId="1" applyNumberFormat="1" applyFont="1" applyBorder="1" applyAlignment="1">
      <alignment horizontal="left" vertical="center"/>
    </xf>
    <xf numFmtId="0" fontId="10" fillId="0" borderId="39" xfId="12" applyFont="1" applyBorder="1" applyAlignment="1">
      <alignment vertical="center" wrapText="1"/>
    </xf>
    <xf numFmtId="9" fontId="10" fillId="0" borderId="120" xfId="12" applyNumberFormat="1" applyFont="1" applyBorder="1" applyAlignment="1">
      <alignment horizontal="center" vertical="center"/>
    </xf>
    <xf numFmtId="0" fontId="12" fillId="0" borderId="135" xfId="12" applyFont="1" applyBorder="1" applyAlignment="1">
      <alignment horizontal="center" vertical="center"/>
    </xf>
    <xf numFmtId="0" fontId="12" fillId="0" borderId="4" xfId="12" applyFont="1" applyBorder="1" applyAlignment="1">
      <alignment horizontal="center" vertical="center" wrapText="1"/>
    </xf>
    <xf numFmtId="0" fontId="9" fillId="0" borderId="116" xfId="12" applyFont="1" applyBorder="1" applyAlignment="1">
      <alignment vertical="center"/>
    </xf>
    <xf numFmtId="9" fontId="12" fillId="0" borderId="136" xfId="12" applyNumberFormat="1" applyFont="1" applyBorder="1" applyAlignment="1">
      <alignment vertical="center"/>
    </xf>
    <xf numFmtId="0" fontId="12" fillId="0" borderId="137" xfId="12" applyFont="1" applyBorder="1" applyAlignment="1">
      <alignment vertical="center" wrapText="1"/>
    </xf>
    <xf numFmtId="165" fontId="10" fillId="0" borderId="68" xfId="1" applyNumberFormat="1" applyFont="1" applyBorder="1" applyAlignment="1">
      <alignment vertical="center"/>
    </xf>
    <xf numFmtId="0" fontId="10" fillId="0" borderId="31" xfId="1" applyFont="1" applyBorder="1" applyAlignment="1">
      <alignment horizontal="left" vertical="center"/>
    </xf>
    <xf numFmtId="0" fontId="10" fillId="0" borderId="30" xfId="1" applyFont="1" applyBorder="1" applyAlignment="1">
      <alignment horizontal="left" vertical="center"/>
    </xf>
    <xf numFmtId="175" fontId="10" fillId="0" borderId="2" xfId="243" applyNumberFormat="1" applyFont="1" applyBorder="1" applyAlignment="1">
      <alignment horizontal="center" vertical="center"/>
    </xf>
    <xf numFmtId="176" fontId="12" fillId="0" borderId="2" xfId="2" applyNumberFormat="1" applyFont="1" applyBorder="1" applyAlignment="1">
      <alignment horizontal="center" vertical="center"/>
    </xf>
    <xf numFmtId="176" fontId="12" fillId="0" borderId="2" xfId="11" applyNumberFormat="1" applyFont="1" applyBorder="1" applyAlignment="1">
      <alignment horizontal="center" vertical="center"/>
    </xf>
    <xf numFmtId="0" fontId="22" fillId="0" borderId="0" xfId="0" applyFont="1"/>
    <xf numFmtId="0" fontId="12" fillId="0" borderId="138"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58" xfId="0" applyFont="1" applyBorder="1" applyAlignment="1">
      <alignment horizontal="center" vertical="center"/>
    </xf>
    <xf numFmtId="0" fontId="12" fillId="0" borderId="139" xfId="0" applyFont="1" applyBorder="1" applyAlignment="1">
      <alignment horizontal="center" vertical="center" wrapText="1"/>
    </xf>
    <xf numFmtId="0" fontId="63" fillId="0" borderId="0" xfId="0" applyFont="1"/>
    <xf numFmtId="41" fontId="22" fillId="0" borderId="31" xfId="11" applyFont="1" applyBorder="1" applyAlignment="1">
      <alignment horizontal="center" vertical="center"/>
    </xf>
    <xf numFmtId="41" fontId="22" fillId="0" borderId="30" xfId="11" applyFont="1" applyBorder="1" applyAlignment="1">
      <alignment horizontal="center" vertical="center"/>
    </xf>
    <xf numFmtId="9" fontId="22" fillId="0" borderId="30" xfId="0" applyNumberFormat="1" applyFont="1" applyBorder="1" applyAlignment="1">
      <alignment horizontal="center" vertical="center"/>
    </xf>
    <xf numFmtId="176" fontId="22" fillId="0" borderId="30" xfId="11" applyNumberFormat="1" applyFont="1" applyBorder="1" applyAlignment="1">
      <alignment horizontal="center" vertical="center"/>
    </xf>
    <xf numFmtId="43" fontId="22" fillId="0" borderId="30" xfId="0" applyNumberFormat="1" applyFont="1" applyBorder="1" applyAlignment="1">
      <alignment horizontal="center" vertical="center"/>
    </xf>
    <xf numFmtId="0" fontId="22" fillId="0" borderId="18" xfId="0" applyFont="1" applyFill="1" applyBorder="1"/>
    <xf numFmtId="0" fontId="22" fillId="0" borderId="18" xfId="0" applyFont="1" applyFill="1" applyBorder="1" applyAlignment="1">
      <alignment horizontal="right"/>
    </xf>
    <xf numFmtId="0" fontId="22" fillId="0" borderId="48" xfId="0" applyFont="1" applyFill="1" applyBorder="1"/>
    <xf numFmtId="0" fontId="22" fillId="0" borderId="63" xfId="0" applyFont="1" applyFill="1" applyBorder="1"/>
    <xf numFmtId="0" fontId="22" fillId="0" borderId="0" xfId="0" applyFont="1" applyFill="1" applyBorder="1"/>
    <xf numFmtId="0" fontId="22" fillId="0" borderId="19" xfId="0" applyFont="1" applyFill="1" applyBorder="1"/>
    <xf numFmtId="0" fontId="22" fillId="0" borderId="26" xfId="0" applyFont="1" applyFill="1" applyBorder="1" applyAlignment="1">
      <alignment horizontal="right"/>
    </xf>
    <xf numFmtId="0" fontId="63" fillId="0" borderId="118" xfId="0" applyFont="1" applyFill="1" applyBorder="1"/>
    <xf numFmtId="0" fontId="63" fillId="0" borderId="116" xfId="0" applyFont="1" applyFill="1" applyBorder="1"/>
    <xf numFmtId="0" fontId="63" fillId="0" borderId="115" xfId="0" applyFont="1" applyFill="1" applyBorder="1"/>
    <xf numFmtId="175" fontId="63" fillId="0" borderId="50" xfId="0" applyNumberFormat="1" applyFont="1" applyFill="1" applyBorder="1"/>
    <xf numFmtId="0" fontId="63" fillId="0" borderId="44" xfId="0" applyFont="1" applyFill="1" applyBorder="1"/>
    <xf numFmtId="0" fontId="63" fillId="0" borderId="42" xfId="0" applyFont="1" applyFill="1" applyBorder="1"/>
    <xf numFmtId="175" fontId="63" fillId="0" borderId="18" xfId="0" applyNumberFormat="1" applyFont="1" applyFill="1" applyBorder="1"/>
    <xf numFmtId="175" fontId="63" fillId="0" borderId="114" xfId="0" applyNumberFormat="1" applyFont="1" applyFill="1" applyBorder="1"/>
    <xf numFmtId="175" fontId="63" fillId="0" borderId="22" xfId="0" applyNumberFormat="1" applyFont="1" applyFill="1" applyBorder="1"/>
    <xf numFmtId="175" fontId="63" fillId="0" borderId="20" xfId="0" applyNumberFormat="1" applyFont="1" applyFill="1" applyBorder="1"/>
    <xf numFmtId="0" fontId="64" fillId="0" borderId="18" xfId="0" applyFont="1" applyFill="1" applyBorder="1" applyAlignment="1">
      <alignment horizontal="right"/>
    </xf>
    <xf numFmtId="0" fontId="64" fillId="0" borderId="26" xfId="0" applyFont="1" applyFill="1" applyBorder="1"/>
    <xf numFmtId="0" fontId="64" fillId="0" borderId="140" xfId="0" applyFont="1" applyFill="1" applyBorder="1"/>
    <xf numFmtId="0" fontId="64" fillId="0" borderId="98" xfId="0" applyFont="1" applyFill="1" applyBorder="1"/>
    <xf numFmtId="0" fontId="64" fillId="0" borderId="44" xfId="0" applyFont="1" applyFill="1" applyBorder="1"/>
    <xf numFmtId="0" fontId="64" fillId="0" borderId="43" xfId="0" applyFont="1" applyFill="1" applyBorder="1"/>
    <xf numFmtId="0" fontId="64" fillId="0" borderId="0" xfId="0" applyFont="1" applyFill="1" applyBorder="1"/>
    <xf numFmtId="0" fontId="64" fillId="0" borderId="19" xfId="0" applyFont="1" applyFill="1" applyBorder="1"/>
    <xf numFmtId="0" fontId="64" fillId="0" borderId="18" xfId="0" applyFont="1" applyFill="1" applyBorder="1"/>
    <xf numFmtId="0" fontId="64" fillId="0" borderId="26" xfId="0" applyFont="1" applyFill="1" applyBorder="1" applyAlignment="1">
      <alignment horizontal="right"/>
    </xf>
    <xf numFmtId="43" fontId="65" fillId="0" borderId="141" xfId="0" applyNumberFormat="1" applyFont="1" applyFill="1" applyBorder="1"/>
    <xf numFmtId="0" fontId="11" fillId="0" borderId="0" xfId="1" quotePrefix="1" applyFont="1" applyBorder="1" applyAlignment="1">
      <alignment vertical="center"/>
    </xf>
    <xf numFmtId="0" fontId="10" fillId="0" borderId="48" xfId="1" applyFont="1" applyBorder="1" applyAlignment="1">
      <alignment vertical="center"/>
    </xf>
    <xf numFmtId="0" fontId="10" fillId="0" borderId="63" xfId="1" applyFont="1" applyBorder="1" applyAlignment="1">
      <alignment vertical="center"/>
    </xf>
    <xf numFmtId="0" fontId="10" fillId="0" borderId="62" xfId="1" applyFont="1" applyBorder="1" applyAlignment="1">
      <alignment vertical="center"/>
    </xf>
    <xf numFmtId="9" fontId="12" fillId="0" borderId="54" xfId="4" applyFont="1" applyFill="1" applyBorder="1" applyAlignment="1">
      <alignment horizontal="center" vertical="center"/>
    </xf>
    <xf numFmtId="41" fontId="12" fillId="0" borderId="54" xfId="2" applyFont="1" applyBorder="1" applyAlignment="1">
      <alignment horizontal="right" vertical="center"/>
    </xf>
    <xf numFmtId="9" fontId="12" fillId="0" borderId="54" xfId="4" applyFont="1" applyFill="1" applyBorder="1" applyAlignment="1">
      <alignment horizontal="right" vertical="center"/>
    </xf>
    <xf numFmtId="167" fontId="12" fillId="0" borderId="142" xfId="11" applyNumberFormat="1" applyFont="1" applyFill="1" applyBorder="1" applyAlignment="1">
      <alignment horizontal="center" vertical="center"/>
    </xf>
    <xf numFmtId="0" fontId="66" fillId="0" borderId="0" xfId="12" applyFont="1"/>
    <xf numFmtId="0" fontId="66" fillId="0" borderId="2" xfId="12" applyFont="1" applyBorder="1"/>
    <xf numFmtId="177" fontId="66" fillId="0" borderId="0" xfId="12" applyNumberFormat="1" applyFont="1"/>
    <xf numFmtId="165" fontId="66" fillId="0" borderId="0" xfId="12" applyNumberFormat="1" applyFont="1"/>
    <xf numFmtId="0" fontId="66" fillId="0" borderId="0" xfId="12" applyFont="1" applyAlignment="1">
      <alignment wrapText="1"/>
    </xf>
    <xf numFmtId="0" fontId="66" fillId="39" borderId="0" xfId="12" applyFont="1" applyFill="1" applyAlignment="1">
      <alignment horizontal="center" vertical="center"/>
    </xf>
    <xf numFmtId="0" fontId="66" fillId="0" borderId="0" xfId="12" applyFont="1" applyAlignment="1">
      <alignment horizontal="center" vertical="center"/>
    </xf>
    <xf numFmtId="164" fontId="66" fillId="0" borderId="0" xfId="12" applyNumberFormat="1" applyFont="1"/>
    <xf numFmtId="0" fontId="68" fillId="0" borderId="0" xfId="12" applyFont="1"/>
    <xf numFmtId="178" fontId="66" fillId="0" borderId="0" xfId="12" applyNumberFormat="1" applyFont="1"/>
    <xf numFmtId="179" fontId="68" fillId="0" borderId="14" xfId="12" applyNumberFormat="1" applyFont="1" applyBorder="1" applyAlignment="1">
      <alignment horizontal="center" vertical="center" wrapText="1"/>
    </xf>
    <xf numFmtId="3" fontId="70" fillId="0" borderId="2" xfId="12" applyNumberFormat="1" applyFont="1" applyBorder="1" applyAlignment="1">
      <alignment horizontal="center" vertical="center" wrapText="1"/>
    </xf>
    <xf numFmtId="177" fontId="66" fillId="0" borderId="2" xfId="12" applyNumberFormat="1" applyFont="1" applyBorder="1" applyAlignment="1">
      <alignment horizontal="center" vertical="center"/>
    </xf>
    <xf numFmtId="165" fontId="66" fillId="0" borderId="2" xfId="12" applyNumberFormat="1" applyFont="1" applyBorder="1" applyAlignment="1">
      <alignment horizontal="center" vertical="center"/>
    </xf>
    <xf numFmtId="0" fontId="71" fillId="0" borderId="2" xfId="12" applyFont="1" applyBorder="1" applyAlignment="1">
      <alignment horizontal="left" vertical="center" wrapText="1"/>
    </xf>
    <xf numFmtId="0" fontId="68" fillId="39" borderId="2" xfId="12" applyFont="1" applyFill="1" applyBorder="1" applyAlignment="1">
      <alignment horizontal="center" vertical="center" wrapText="1"/>
    </xf>
    <xf numFmtId="0" fontId="68" fillId="0" borderId="2" xfId="12" applyFont="1" applyBorder="1" applyAlignment="1">
      <alignment horizontal="center" vertical="center" wrapText="1"/>
    </xf>
    <xf numFmtId="0" fontId="71" fillId="42" borderId="2" xfId="12" applyFont="1" applyFill="1" applyBorder="1" applyAlignment="1">
      <alignment horizontal="left" vertical="center" wrapText="1"/>
    </xf>
    <xf numFmtId="0" fontId="68" fillId="43" borderId="14" xfId="12" applyFont="1" applyFill="1" applyBorder="1" applyAlignment="1">
      <alignment horizontal="center" vertical="center" wrapText="1"/>
    </xf>
    <xf numFmtId="0" fontId="68" fillId="43" borderId="2" xfId="12" applyFont="1" applyFill="1" applyBorder="1" applyAlignment="1">
      <alignment horizontal="center" vertical="center" wrapText="1"/>
    </xf>
    <xf numFmtId="179" fontId="68" fillId="0" borderId="0" xfId="12" applyNumberFormat="1" applyFont="1" applyAlignment="1">
      <alignment horizontal="center" vertical="center" wrapText="1"/>
    </xf>
    <xf numFmtId="3" fontId="70" fillId="0" borderId="0" xfId="12" applyNumberFormat="1" applyFont="1" applyAlignment="1">
      <alignment horizontal="center" vertical="center" wrapText="1"/>
    </xf>
    <xf numFmtId="177" fontId="66" fillId="0" borderId="0" xfId="12" applyNumberFormat="1" applyFont="1" applyAlignment="1">
      <alignment horizontal="center" vertical="center"/>
    </xf>
    <xf numFmtId="165" fontId="66" fillId="0" borderId="0" xfId="12" applyNumberFormat="1" applyFont="1" applyAlignment="1">
      <alignment horizontal="center" vertical="center"/>
    </xf>
    <xf numFmtId="0" fontId="71" fillId="42" borderId="0" xfId="12" applyFont="1" applyFill="1" applyAlignment="1">
      <alignment horizontal="left" vertical="center" wrapText="1"/>
    </xf>
    <xf numFmtId="0" fontId="68" fillId="39" borderId="0" xfId="12" applyFont="1" applyFill="1" applyAlignment="1">
      <alignment horizontal="center" vertical="center" wrapText="1"/>
    </xf>
    <xf numFmtId="0" fontId="68" fillId="0" borderId="0" xfId="12" applyFont="1" applyAlignment="1">
      <alignment horizontal="center" vertical="center" wrapText="1"/>
    </xf>
    <xf numFmtId="0" fontId="72" fillId="43" borderId="0" xfId="12" applyFont="1" applyFill="1"/>
    <xf numFmtId="0" fontId="72" fillId="0" borderId="0" xfId="12" applyFont="1"/>
    <xf numFmtId="3" fontId="72" fillId="0" borderId="0" xfId="12" applyNumberFormat="1" applyFont="1"/>
    <xf numFmtId="0" fontId="72" fillId="39" borderId="0" xfId="12" applyFont="1" applyFill="1"/>
    <xf numFmtId="166" fontId="72" fillId="43" borderId="0" xfId="4" applyNumberFormat="1" applyFont="1" applyFill="1"/>
    <xf numFmtId="166" fontId="66" fillId="0" borderId="0" xfId="4" applyNumberFormat="1" applyFont="1"/>
    <xf numFmtId="0" fontId="68" fillId="0" borderId="0" xfId="12" applyFont="1" applyAlignment="1">
      <alignment wrapText="1"/>
    </xf>
    <xf numFmtId="0" fontId="68" fillId="39" borderId="0" xfId="12" applyFont="1" applyFill="1" applyAlignment="1">
      <alignment horizontal="center" vertical="center"/>
    </xf>
    <xf numFmtId="165" fontId="66" fillId="0" borderId="14" xfId="12" applyNumberFormat="1" applyFont="1" applyBorder="1"/>
    <xf numFmtId="0" fontId="68" fillId="0" borderId="2" xfId="12" applyFont="1" applyBorder="1" applyAlignment="1">
      <alignment horizontal="left" vertical="center" wrapText="1"/>
    </xf>
    <xf numFmtId="179" fontId="66" fillId="0" borderId="14" xfId="12" applyNumberFormat="1" applyFont="1" applyBorder="1" applyAlignment="1">
      <alignment horizontal="center" vertical="center" wrapText="1"/>
    </xf>
    <xf numFmtId="0" fontId="68" fillId="43" borderId="14" xfId="12" applyFont="1" applyFill="1" applyBorder="1" applyAlignment="1">
      <alignment horizontal="center" vertical="center"/>
    </xf>
    <xf numFmtId="165" fontId="68" fillId="43" borderId="3" xfId="12" applyNumberFormat="1" applyFont="1" applyFill="1" applyBorder="1" applyAlignment="1">
      <alignment horizontal="center" vertical="center" wrapText="1"/>
    </xf>
    <xf numFmtId="0" fontId="68" fillId="43" borderId="2" xfId="12" applyFont="1" applyFill="1" applyBorder="1" applyAlignment="1">
      <alignment horizontal="left" vertical="center" wrapText="1"/>
    </xf>
    <xf numFmtId="0" fontId="66" fillId="39" borderId="0" xfId="12" applyFont="1" applyFill="1"/>
    <xf numFmtId="179" fontId="66" fillId="0" borderId="0" xfId="12" applyNumberFormat="1" applyFont="1"/>
    <xf numFmtId="0" fontId="69" fillId="44" borderId="2" xfId="12" applyFont="1" applyFill="1" applyBorder="1" applyAlignment="1">
      <alignment horizontal="center" vertical="center" wrapText="1"/>
    </xf>
    <xf numFmtId="165" fontId="68" fillId="43" borderId="2" xfId="12" applyNumberFormat="1" applyFont="1" applyFill="1" applyBorder="1" applyAlignment="1">
      <alignment horizontal="center" vertical="center" wrapText="1"/>
    </xf>
    <xf numFmtId="0" fontId="66" fillId="0" borderId="14" xfId="12" applyFont="1" applyBorder="1" applyAlignment="1">
      <alignment wrapText="1"/>
    </xf>
    <xf numFmtId="0" fontId="73" fillId="0" borderId="0" xfId="12" applyFont="1"/>
    <xf numFmtId="165" fontId="69" fillId="43" borderId="2" xfId="12" applyNumberFormat="1" applyFont="1" applyFill="1" applyBorder="1" applyAlignment="1">
      <alignment horizontal="center" vertical="center" wrapText="1"/>
    </xf>
    <xf numFmtId="0" fontId="66" fillId="0" borderId="38" xfId="12" applyFont="1" applyBorder="1"/>
    <xf numFmtId="0" fontId="66" fillId="0" borderId="14" xfId="12" applyFont="1" applyBorder="1"/>
    <xf numFmtId="0" fontId="68" fillId="0" borderId="14" xfId="12" applyFont="1" applyBorder="1" applyAlignment="1">
      <alignment horizontal="left" vertical="center" wrapText="1"/>
    </xf>
    <xf numFmtId="179" fontId="68" fillId="40" borderId="14" xfId="12" applyNumberFormat="1" applyFont="1" applyFill="1" applyBorder="1" applyAlignment="1">
      <alignment horizontal="center" vertical="center" wrapText="1"/>
    </xf>
    <xf numFmtId="165" fontId="66" fillId="42" borderId="2" xfId="12" applyNumberFormat="1" applyFont="1" applyFill="1" applyBorder="1" applyAlignment="1">
      <alignment horizontal="center" vertical="center"/>
    </xf>
    <xf numFmtId="0" fontId="66" fillId="0" borderId="2" xfId="12" applyFont="1" applyBorder="1" applyAlignment="1">
      <alignment horizontal="left" vertical="center" wrapText="1"/>
    </xf>
    <xf numFmtId="0" fontId="68" fillId="0" borderId="2" xfId="12" applyFont="1" applyBorder="1" applyAlignment="1">
      <alignment horizontal="center" vertical="center"/>
    </xf>
    <xf numFmtId="3" fontId="70" fillId="42" borderId="2" xfId="12" applyNumberFormat="1" applyFont="1" applyFill="1" applyBorder="1" applyAlignment="1">
      <alignment horizontal="center" vertical="center" wrapText="1"/>
    </xf>
    <xf numFmtId="0" fontId="71" fillId="0" borderId="2" xfId="12" applyFont="1" applyBorder="1" applyAlignment="1">
      <alignment wrapText="1"/>
    </xf>
    <xf numFmtId="179" fontId="68" fillId="0" borderId="2" xfId="12" applyNumberFormat="1" applyFont="1" applyBorder="1" applyAlignment="1">
      <alignment horizontal="center" vertical="center" wrapText="1"/>
    </xf>
    <xf numFmtId="0" fontId="71" fillId="0" borderId="2" xfId="12" applyFont="1" applyBorder="1" applyAlignment="1">
      <alignment vertical="center" wrapText="1"/>
    </xf>
    <xf numFmtId="177" fontId="68" fillId="0" borderId="0" xfId="12" applyNumberFormat="1" applyFont="1"/>
    <xf numFmtId="165" fontId="68" fillId="0" borderId="0" xfId="12" applyNumberFormat="1" applyFont="1"/>
    <xf numFmtId="179" fontId="68" fillId="0" borderId="0" xfId="12" applyNumberFormat="1" applyFont="1" applyAlignment="1">
      <alignment horizontal="right" vertical="top"/>
    </xf>
    <xf numFmtId="3" fontId="67" fillId="0" borderId="0" xfId="12" applyNumberFormat="1" applyFont="1" applyAlignment="1">
      <alignment horizontal="right" vertical="top" wrapText="1"/>
    </xf>
    <xf numFmtId="177" fontId="70" fillId="0" borderId="0" xfId="12" applyNumberFormat="1" applyFont="1" applyAlignment="1">
      <alignment horizontal="right" vertical="top" wrapText="1"/>
    </xf>
    <xf numFmtId="165" fontId="70" fillId="0" borderId="0" xfId="12" applyNumberFormat="1" applyFont="1" applyAlignment="1">
      <alignment horizontal="right" vertical="top" wrapText="1"/>
    </xf>
    <xf numFmtId="0" fontId="68" fillId="0" borderId="0" xfId="12" applyFont="1" applyAlignment="1">
      <alignment horizontal="right" vertical="top" wrapText="1"/>
    </xf>
    <xf numFmtId="165" fontId="66" fillId="42" borderId="2" xfId="12" applyNumberFormat="1" applyFont="1" applyFill="1" applyBorder="1" applyAlignment="1">
      <alignment horizontal="center" vertical="center" wrapText="1"/>
    </xf>
    <xf numFmtId="0" fontId="66" fillId="40" borderId="0" xfId="12" applyFont="1" applyFill="1"/>
    <xf numFmtId="0" fontId="69" fillId="40" borderId="5" xfId="12" applyFont="1" applyFill="1" applyBorder="1" applyAlignment="1">
      <alignment horizontal="center" vertical="center" wrapText="1"/>
    </xf>
    <xf numFmtId="3" fontId="70" fillId="40" borderId="2" xfId="12" applyNumberFormat="1" applyFont="1" applyFill="1" applyBorder="1" applyAlignment="1">
      <alignment horizontal="center" vertical="center" wrapText="1"/>
    </xf>
    <xf numFmtId="165" fontId="66" fillId="40" borderId="2" xfId="12" applyNumberFormat="1" applyFont="1" applyFill="1" applyBorder="1" applyAlignment="1">
      <alignment horizontal="center" vertical="center" wrapText="1"/>
    </xf>
    <xf numFmtId="0" fontId="71" fillId="40" borderId="2" xfId="12" applyFont="1" applyFill="1" applyBorder="1" applyAlignment="1">
      <alignment horizontal="left" vertical="center" wrapText="1"/>
    </xf>
    <xf numFmtId="0" fontId="68" fillId="40" borderId="2" xfId="12" applyFont="1" applyFill="1" applyBorder="1" applyAlignment="1">
      <alignment horizontal="center" vertical="center" wrapText="1"/>
    </xf>
    <xf numFmtId="179" fontId="68" fillId="0" borderId="0" xfId="12" applyNumberFormat="1" applyFont="1" applyAlignment="1">
      <alignment horizontal="right" vertical="top" wrapText="1"/>
    </xf>
    <xf numFmtId="3" fontId="70" fillId="0" borderId="0" xfId="12" applyNumberFormat="1" applyFont="1" applyAlignment="1">
      <alignment horizontal="right" vertical="top" wrapText="1"/>
    </xf>
    <xf numFmtId="0" fontId="71" fillId="0" borderId="0" xfId="12" applyFont="1" applyAlignment="1">
      <alignment horizontal="left" vertical="top" wrapText="1"/>
    </xf>
    <xf numFmtId="0" fontId="71" fillId="0" borderId="0" xfId="12" applyFont="1"/>
    <xf numFmtId="180" fontId="66" fillId="0" borderId="0" xfId="12" applyNumberFormat="1" applyFont="1"/>
    <xf numFmtId="0" fontId="68" fillId="0" borderId="0" xfId="12" applyFont="1" applyAlignment="1">
      <alignment horizontal="left" vertical="top" wrapText="1"/>
    </xf>
    <xf numFmtId="0" fontId="66" fillId="0" borderId="2" xfId="12" applyFont="1" applyBorder="1" applyAlignment="1">
      <alignment horizontal="left" vertical="top" wrapText="1"/>
    </xf>
    <xf numFmtId="179" fontId="71" fillId="43" borderId="0" xfId="12" applyNumberFormat="1" applyFont="1" applyFill="1"/>
    <xf numFmtId="165" fontId="66" fillId="0" borderId="2" xfId="12" applyNumberFormat="1" applyFont="1" applyBorder="1" applyAlignment="1">
      <alignment horizontal="center" vertical="center" wrapText="1"/>
    </xf>
    <xf numFmtId="0" fontId="75" fillId="0" borderId="0" xfId="12" applyFont="1" applyAlignment="1" applyProtection="1">
      <alignment horizontal="center" vertical="top" wrapText="1"/>
      <protection locked="0"/>
    </xf>
    <xf numFmtId="177" fontId="75" fillId="0" borderId="0" xfId="12" applyNumberFormat="1" applyFont="1" applyAlignment="1" applyProtection="1">
      <alignment horizontal="center" vertical="top" wrapText="1"/>
      <protection locked="0"/>
    </xf>
    <xf numFmtId="165" fontId="75" fillId="0" borderId="0" xfId="12" applyNumberFormat="1" applyFont="1" applyAlignment="1" applyProtection="1">
      <alignment horizontal="center" vertical="top" wrapText="1"/>
      <protection locked="0"/>
    </xf>
    <xf numFmtId="181" fontId="72" fillId="43" borderId="0" xfId="12" applyNumberFormat="1" applyFont="1" applyFill="1"/>
    <xf numFmtId="0" fontId="76" fillId="0" borderId="0" xfId="12" applyFont="1" applyAlignment="1">
      <alignment wrapText="1"/>
    </xf>
    <xf numFmtId="0" fontId="77" fillId="0" borderId="0" xfId="12" applyFont="1" applyAlignment="1">
      <alignment wrapText="1"/>
    </xf>
    <xf numFmtId="0" fontId="78" fillId="39" borderId="0" xfId="12" applyFont="1" applyFill="1" applyAlignment="1">
      <alignment horizontal="center" vertical="center"/>
    </xf>
    <xf numFmtId="0" fontId="1" fillId="0" borderId="0" xfId="12"/>
    <xf numFmtId="0" fontId="1" fillId="0" borderId="0" xfId="12" applyAlignment="1">
      <alignment vertical="center"/>
    </xf>
    <xf numFmtId="0" fontId="2" fillId="0" borderId="0" xfId="12" applyFont="1"/>
    <xf numFmtId="182" fontId="2" fillId="0" borderId="15" xfId="12" applyNumberFormat="1" applyFont="1" applyBorder="1"/>
    <xf numFmtId="0" fontId="2" fillId="0" borderId="57" xfId="12" applyFont="1" applyBorder="1"/>
    <xf numFmtId="182" fontId="1" fillId="0" borderId="144" xfId="12" applyNumberFormat="1" applyBorder="1"/>
    <xf numFmtId="0" fontId="2" fillId="0" borderId="143" xfId="12" applyFont="1" applyBorder="1"/>
    <xf numFmtId="182" fontId="2" fillId="0" borderId="144" xfId="12" applyNumberFormat="1" applyFont="1" applyBorder="1"/>
    <xf numFmtId="182" fontId="1" fillId="0" borderId="0" xfId="12" applyNumberFormat="1"/>
    <xf numFmtId="0" fontId="2" fillId="0" borderId="34" xfId="12" applyFont="1" applyBorder="1"/>
    <xf numFmtId="0" fontId="2" fillId="0" borderId="2" xfId="12" applyFont="1" applyBorder="1"/>
    <xf numFmtId="183" fontId="1" fillId="0" borderId="0" xfId="12" applyNumberFormat="1"/>
    <xf numFmtId="0" fontId="2" fillId="0" borderId="34" xfId="12" applyFont="1" applyBorder="1" applyAlignment="1">
      <alignment horizontal="left" wrapText="1"/>
    </xf>
    <xf numFmtId="0" fontId="1" fillId="2" borderId="2" xfId="12" applyFill="1" applyBorder="1" applyAlignment="1">
      <alignment horizontal="center" vertical="center" wrapText="1"/>
    </xf>
    <xf numFmtId="182" fontId="1" fillId="0" borderId="15" xfId="12" applyNumberFormat="1" applyBorder="1"/>
    <xf numFmtId="182" fontId="1" fillId="0" borderId="1" xfId="12" applyNumberFormat="1" applyBorder="1"/>
    <xf numFmtId="9" fontId="0" fillId="0" borderId="0" xfId="4" applyFont="1" applyFill="1"/>
    <xf numFmtId="0" fontId="20" fillId="0" borderId="0" xfId="12" applyFont="1"/>
    <xf numFmtId="182" fontId="20" fillId="0" borderId="0" xfId="12" applyNumberFormat="1" applyFont="1"/>
    <xf numFmtId="1" fontId="1" fillId="0" borderId="0" xfId="12" applyNumberFormat="1"/>
    <xf numFmtId="164" fontId="1" fillId="0" borderId="0" xfId="12" applyNumberFormat="1"/>
    <xf numFmtId="0" fontId="6" fillId="0" borderId="0" xfId="12" applyFont="1"/>
    <xf numFmtId="182" fontId="79" fillId="0" borderId="0" xfId="12" applyNumberFormat="1" applyFont="1" applyAlignment="1">
      <alignment horizontal="left"/>
    </xf>
    <xf numFmtId="182" fontId="79" fillId="45" borderId="2" xfId="12" applyNumberFormat="1" applyFont="1" applyFill="1" applyBorder="1" applyAlignment="1">
      <alignment horizontal="left"/>
    </xf>
    <xf numFmtId="182" fontId="6" fillId="45" borderId="2" xfId="12" applyNumberFormat="1" applyFont="1" applyFill="1" applyBorder="1"/>
    <xf numFmtId="0" fontId="6" fillId="45" borderId="2" xfId="12" applyFont="1" applyFill="1" applyBorder="1"/>
    <xf numFmtId="0" fontId="6" fillId="45" borderId="2" xfId="12" applyFont="1" applyFill="1" applyBorder="1" applyAlignment="1">
      <alignment vertical="center"/>
    </xf>
    <xf numFmtId="0" fontId="6" fillId="46" borderId="2" xfId="12" applyFont="1" applyFill="1" applyBorder="1" applyAlignment="1">
      <alignment wrapText="1"/>
    </xf>
    <xf numFmtId="0" fontId="6" fillId="46" borderId="2" xfId="12" applyFont="1" applyFill="1" applyBorder="1" applyAlignment="1">
      <alignment vertical="center" wrapText="1"/>
    </xf>
    <xf numFmtId="0" fontId="6" fillId="46" borderId="2" xfId="12" applyFont="1" applyFill="1" applyBorder="1" applyAlignment="1">
      <alignment horizontal="center" vertical="center" wrapText="1"/>
    </xf>
    <xf numFmtId="0" fontId="20" fillId="41" borderId="2" xfId="12" applyFont="1" applyFill="1" applyBorder="1" applyAlignment="1">
      <alignment horizontal="center" wrapText="1"/>
    </xf>
    <xf numFmtId="0" fontId="20" fillId="47" borderId="5" xfId="12" applyFont="1" applyFill="1" applyBorder="1" applyAlignment="1">
      <alignment horizontal="center" vertical="center" wrapText="1"/>
    </xf>
    <xf numFmtId="0" fontId="20" fillId="41" borderId="2" xfId="12" applyFont="1" applyFill="1" applyBorder="1" applyAlignment="1">
      <alignment vertical="center"/>
    </xf>
    <xf numFmtId="0" fontId="20" fillId="41" borderId="2" xfId="12" applyFont="1" applyFill="1" applyBorder="1" applyAlignment="1">
      <alignment horizontal="center" vertical="center" wrapText="1"/>
    </xf>
    <xf numFmtId="0" fontId="79" fillId="41" borderId="2" xfId="12" applyFont="1" applyFill="1" applyBorder="1" applyAlignment="1">
      <alignment horizontal="center" vertical="center" wrapText="1"/>
    </xf>
    <xf numFmtId="0" fontId="1" fillId="40" borderId="0" xfId="12" applyFill="1"/>
    <xf numFmtId="0" fontId="20" fillId="44" borderId="2" xfId="12" applyFont="1" applyFill="1" applyBorder="1" applyAlignment="1">
      <alignment horizontal="center" vertical="center" wrapText="1"/>
    </xf>
    <xf numFmtId="0" fontId="20" fillId="44" borderId="0" xfId="12" applyFont="1" applyFill="1" applyAlignment="1">
      <alignment horizontal="left" vertical="center"/>
    </xf>
    <xf numFmtId="0" fontId="20" fillId="41" borderId="2" xfId="12" applyFont="1" applyFill="1" applyBorder="1" applyAlignment="1">
      <alignment vertical="center" wrapText="1"/>
    </xf>
    <xf numFmtId="0" fontId="20" fillId="41" borderId="5" xfId="12" applyFont="1" applyFill="1" applyBorder="1" applyAlignment="1">
      <alignment horizontal="center" wrapText="1"/>
    </xf>
    <xf numFmtId="0" fontId="20" fillId="41" borderId="5" xfId="12" applyFont="1" applyFill="1" applyBorder="1" applyAlignment="1">
      <alignment vertical="center" wrapText="1"/>
    </xf>
    <xf numFmtId="0" fontId="79" fillId="0" borderId="58" xfId="12" applyFont="1" applyBorder="1" applyAlignment="1">
      <alignment horizontal="center" vertical="center" wrapText="1"/>
    </xf>
    <xf numFmtId="0" fontId="6" fillId="46" borderId="52" xfId="12" applyFont="1" applyFill="1" applyBorder="1" applyAlignment="1">
      <alignment horizontal="center" wrapText="1"/>
    </xf>
    <xf numFmtId="0" fontId="6" fillId="46" borderId="52" xfId="12" applyFont="1" applyFill="1" applyBorder="1" applyAlignment="1">
      <alignment vertical="center" wrapText="1"/>
    </xf>
    <xf numFmtId="0" fontId="6" fillId="46" borderId="52" xfId="12" applyFont="1" applyFill="1" applyBorder="1" applyAlignment="1">
      <alignment wrapText="1"/>
    </xf>
    <xf numFmtId="0" fontId="1" fillId="48" borderId="0" xfId="12" applyFill="1"/>
    <xf numFmtId="182" fontId="20" fillId="48" borderId="6" xfId="12" applyNumberFormat="1" applyFont="1" applyFill="1" applyBorder="1" applyAlignment="1">
      <alignment horizontal="center" vertical="center" wrapText="1"/>
    </xf>
    <xf numFmtId="0" fontId="20" fillId="48" borderId="6" xfId="12" applyFont="1" applyFill="1" applyBorder="1" applyAlignment="1">
      <alignment horizontal="center" vertical="center" wrapText="1"/>
    </xf>
    <xf numFmtId="0" fontId="20" fillId="48" borderId="6" xfId="12" applyFont="1" applyFill="1" applyBorder="1" applyAlignment="1">
      <alignment horizontal="left" vertical="center" wrapText="1"/>
    </xf>
    <xf numFmtId="0" fontId="79" fillId="48" borderId="6" xfId="12" applyFont="1" applyFill="1" applyBorder="1" applyAlignment="1">
      <alignment horizontal="center" vertical="center" wrapText="1"/>
    </xf>
    <xf numFmtId="0" fontId="20" fillId="41" borderId="2" xfId="12" applyFont="1" applyFill="1" applyBorder="1" applyAlignment="1">
      <alignment horizontal="left" vertical="center" wrapText="1"/>
    </xf>
    <xf numFmtId="0" fontId="20" fillId="47" borderId="2" xfId="12" applyFont="1" applyFill="1" applyBorder="1" applyAlignment="1">
      <alignment horizontal="center" vertical="center" wrapText="1"/>
    </xf>
    <xf numFmtId="0" fontId="20" fillId="41" borderId="135" xfId="12" applyFont="1" applyFill="1" applyBorder="1" applyAlignment="1">
      <alignment vertical="center" wrapText="1"/>
    </xf>
    <xf numFmtId="0" fontId="1" fillId="49" borderId="0" xfId="12" applyFill="1"/>
    <xf numFmtId="0" fontId="20" fillId="44" borderId="2" xfId="12" applyFont="1" applyFill="1" applyBorder="1" applyAlignment="1">
      <alignment vertical="center" wrapText="1"/>
    </xf>
    <xf numFmtId="182" fontId="20" fillId="0" borderId="0" xfId="4" applyNumberFormat="1" applyFont="1" applyFill="1" applyBorder="1" applyAlignment="1">
      <alignment vertical="center" wrapText="1"/>
    </xf>
    <xf numFmtId="0" fontId="20" fillId="48" borderId="2" xfId="12" applyFont="1" applyFill="1" applyBorder="1" applyAlignment="1">
      <alignment horizontal="left" vertical="center" wrapText="1"/>
    </xf>
    <xf numFmtId="0" fontId="20" fillId="48" borderId="5" xfId="12" applyFont="1" applyFill="1" applyBorder="1" applyAlignment="1">
      <alignment horizontal="center" vertical="center" wrapText="1"/>
    </xf>
    <xf numFmtId="0" fontId="20" fillId="48" borderId="2" xfId="12" applyFont="1" applyFill="1" applyBorder="1" applyAlignment="1">
      <alignment horizontal="center" vertical="center" wrapText="1"/>
    </xf>
    <xf numFmtId="0" fontId="20" fillId="48" borderId="5" xfId="12" applyFont="1" applyFill="1" applyBorder="1" applyAlignment="1">
      <alignment horizontal="left" vertical="center" wrapText="1"/>
    </xf>
    <xf numFmtId="0" fontId="79" fillId="48" borderId="135" xfId="12" applyFont="1" applyFill="1" applyBorder="1" applyAlignment="1">
      <alignment horizontal="center" vertical="center" wrapText="1"/>
    </xf>
    <xf numFmtId="0" fontId="20" fillId="48" borderId="2" xfId="12" applyFont="1" applyFill="1" applyBorder="1" applyAlignment="1">
      <alignment vertical="center" wrapText="1"/>
    </xf>
    <xf numFmtId="0" fontId="79" fillId="45" borderId="2" xfId="12" applyFont="1" applyFill="1" applyBorder="1" applyAlignment="1">
      <alignment horizontal="center" vertical="center" wrapText="1"/>
    </xf>
    <xf numFmtId="0" fontId="79" fillId="0" borderId="0" xfId="12" applyFont="1" applyAlignment="1">
      <alignment horizontal="center" vertical="center" wrapText="1"/>
    </xf>
    <xf numFmtId="0" fontId="79" fillId="50" borderId="2" xfId="12" applyFont="1" applyFill="1" applyBorder="1" applyAlignment="1">
      <alignment horizontal="center" vertical="center" wrapText="1"/>
    </xf>
    <xf numFmtId="0" fontId="69" fillId="41" borderId="5" xfId="12" applyFont="1" applyFill="1" applyBorder="1" applyAlignment="1">
      <alignment horizontal="center" vertical="center" wrapText="1"/>
    </xf>
    <xf numFmtId="0" fontId="66" fillId="0" borderId="2" xfId="12" applyFont="1" applyBorder="1" applyAlignment="1">
      <alignment horizontal="center"/>
    </xf>
    <xf numFmtId="0" fontId="68" fillId="0" borderId="5" xfId="12" applyFont="1" applyBorder="1" applyAlignment="1">
      <alignment horizontal="center" vertical="center"/>
    </xf>
    <xf numFmtId="0" fontId="68" fillId="39" borderId="5" xfId="12" applyFont="1" applyFill="1" applyBorder="1" applyAlignment="1">
      <alignment horizontal="center" vertical="center"/>
    </xf>
    <xf numFmtId="0" fontId="79" fillId="0" borderId="135" xfId="12" applyFont="1" applyBorder="1" applyAlignment="1">
      <alignment horizontal="center" vertical="center" wrapText="1"/>
    </xf>
    <xf numFmtId="0" fontId="79" fillId="0" borderId="6" xfId="12" applyFont="1" applyBorder="1" applyAlignment="1">
      <alignment horizontal="center" vertical="center" wrapText="1"/>
    </xf>
    <xf numFmtId="0" fontId="79" fillId="0" borderId="2" xfId="12" applyFont="1" applyBorder="1" applyAlignment="1">
      <alignment horizontal="center" vertical="center" wrapText="1"/>
    </xf>
    <xf numFmtId="0" fontId="79" fillId="44" borderId="135" xfId="12" applyFont="1" applyFill="1" applyBorder="1" applyAlignment="1">
      <alignment horizontal="center" vertical="center" wrapText="1"/>
    </xf>
    <xf numFmtId="0" fontId="79" fillId="44" borderId="5" xfId="12" applyFont="1" applyFill="1" applyBorder="1" applyAlignment="1">
      <alignment horizontal="center" vertical="center" wrapText="1"/>
    </xf>
    <xf numFmtId="0" fontId="20" fillId="41" borderId="135" xfId="12" applyFont="1" applyFill="1" applyBorder="1" applyAlignment="1">
      <alignment horizontal="center" vertical="center" wrapText="1"/>
    </xf>
    <xf numFmtId="0" fontId="20" fillId="41" borderId="5" xfId="12" applyFont="1" applyFill="1" applyBorder="1" applyAlignment="1">
      <alignment horizontal="center" vertical="center" wrapText="1"/>
    </xf>
    <xf numFmtId="0" fontId="12" fillId="0" borderId="14" xfId="12" applyFont="1" applyBorder="1" applyAlignment="1">
      <alignment vertical="center" wrapText="1"/>
    </xf>
    <xf numFmtId="0" fontId="12" fillId="0" borderId="38" xfId="12" applyFont="1" applyBorder="1" applyAlignment="1">
      <alignment vertical="center" wrapText="1"/>
    </xf>
    <xf numFmtId="0" fontId="12" fillId="0" borderId="3" xfId="12" applyFont="1" applyBorder="1" applyAlignment="1">
      <alignment vertical="center" wrapText="1"/>
    </xf>
    <xf numFmtId="0" fontId="12" fillId="0" borderId="39" xfId="12" applyFont="1" applyBorder="1" applyAlignment="1">
      <alignment horizontal="center" vertical="center" wrapText="1"/>
    </xf>
    <xf numFmtId="0" fontId="12" fillId="0" borderId="38" xfId="12" applyFont="1" applyBorder="1" applyAlignment="1">
      <alignment horizontal="center" vertical="center" wrapText="1"/>
    </xf>
    <xf numFmtId="0" fontId="12" fillId="0" borderId="3" xfId="12" applyFont="1" applyBorder="1" applyAlignment="1">
      <alignment horizontal="center" vertical="center" wrapText="1"/>
    </xf>
    <xf numFmtId="9" fontId="12" fillId="0" borderId="39" xfId="12" applyNumberFormat="1" applyFont="1" applyBorder="1" applyAlignment="1">
      <alignment horizontal="center" vertical="center"/>
    </xf>
    <xf numFmtId="9" fontId="12" fillId="0" borderId="3" xfId="12" applyNumberFormat="1" applyFont="1" applyBorder="1" applyAlignment="1">
      <alignment horizontal="center" vertical="center"/>
    </xf>
    <xf numFmtId="0" fontId="8" fillId="2" borderId="2" xfId="1" applyFont="1" applyFill="1" applyBorder="1" applyAlignment="1">
      <alignment horizontal="center" vertical="center" wrapText="1"/>
    </xf>
    <xf numFmtId="0" fontId="3" fillId="4" borderId="14" xfId="1" applyFont="1" applyFill="1" applyBorder="1" applyAlignment="1">
      <alignment horizontal="left" vertical="center" wrapText="1"/>
    </xf>
    <xf numFmtId="0" fontId="3" fillId="4" borderId="3" xfId="1" applyFont="1" applyFill="1" applyBorder="1" applyAlignment="1">
      <alignment horizontal="left" vertical="center" wrapText="1"/>
    </xf>
    <xf numFmtId="0" fontId="18" fillId="0" borderId="7" xfId="1" applyFont="1" applyBorder="1" applyAlignment="1">
      <alignment horizontal="left" vertical="center" wrapText="1"/>
    </xf>
    <xf numFmtId="0" fontId="18" fillId="0" borderId="6" xfId="1" applyFont="1" applyBorder="1" applyAlignment="1">
      <alignment horizontal="left" vertical="center" wrapText="1"/>
    </xf>
    <xf numFmtId="0" fontId="18" fillId="0" borderId="5" xfId="1" applyFont="1" applyBorder="1" applyAlignment="1">
      <alignment horizontal="left" vertical="center" wrapText="1"/>
    </xf>
    <xf numFmtId="0" fontId="1" fillId="0" borderId="2" xfId="1" applyBorder="1" applyAlignment="1">
      <alignment horizontal="center" vertical="center" wrapText="1"/>
    </xf>
    <xf numFmtId="0" fontId="13" fillId="0" borderId="61" xfId="1" applyFont="1" applyBorder="1" applyAlignment="1">
      <alignment horizontal="left" vertical="center"/>
    </xf>
    <xf numFmtId="0" fontId="13" fillId="0" borderId="60" xfId="1" applyFont="1" applyBorder="1" applyAlignment="1">
      <alignment horizontal="left" vertical="center"/>
    </xf>
    <xf numFmtId="0" fontId="13" fillId="0" borderId="59" xfId="1" applyFont="1" applyBorder="1" applyAlignment="1">
      <alignment horizontal="left" vertical="center"/>
    </xf>
    <xf numFmtId="0" fontId="12" fillId="0" borderId="47" xfId="1" applyFont="1" applyBorder="1" applyAlignment="1">
      <alignment horizontal="left" vertical="center"/>
    </xf>
    <xf numFmtId="0" fontId="12" fillId="0" borderId="46" xfId="1" applyFont="1" applyBorder="1" applyAlignment="1">
      <alignment horizontal="left" vertical="center"/>
    </xf>
    <xf numFmtId="0" fontId="12" fillId="0" borderId="12" xfId="1" applyFont="1" applyBorder="1" applyAlignment="1">
      <alignment horizontal="left" vertical="center"/>
    </xf>
    <xf numFmtId="0" fontId="12" fillId="0" borderId="39" xfId="1" applyFont="1" applyBorder="1" applyAlignment="1">
      <alignment horizontal="left" vertical="center"/>
    </xf>
    <xf numFmtId="0" fontId="12" fillId="0" borderId="38" xfId="1" applyFont="1" applyBorder="1" applyAlignment="1">
      <alignment horizontal="left" vertical="center"/>
    </xf>
    <xf numFmtId="0" fontId="12" fillId="0" borderId="41" xfId="1" applyFont="1" applyBorder="1" applyAlignment="1">
      <alignment horizontal="left" vertical="center"/>
    </xf>
    <xf numFmtId="0" fontId="12" fillId="0" borderId="10" xfId="1" applyFont="1" applyBorder="1" applyAlignment="1">
      <alignment horizontal="left" vertical="center"/>
    </xf>
    <xf numFmtId="0" fontId="10" fillId="0" borderId="39" xfId="1" applyFont="1" applyBorder="1" applyAlignment="1">
      <alignment horizontal="left" vertical="center"/>
    </xf>
    <xf numFmtId="0" fontId="10" fillId="0" borderId="38" xfId="1" applyFont="1" applyBorder="1" applyAlignment="1">
      <alignment horizontal="left" vertical="center"/>
    </xf>
    <xf numFmtId="0" fontId="10" fillId="0" borderId="35" xfId="1" applyFont="1" applyBorder="1" applyAlignment="1">
      <alignment horizontal="left" vertical="center"/>
    </xf>
    <xf numFmtId="0" fontId="10" fillId="0" borderId="7" xfId="1" applyFont="1" applyBorder="1" applyAlignment="1">
      <alignment horizontal="left" vertical="center"/>
    </xf>
    <xf numFmtId="0" fontId="10" fillId="0" borderId="34" xfId="1" applyFont="1" applyBorder="1" applyAlignment="1">
      <alignment horizontal="left" vertical="center"/>
    </xf>
    <xf numFmtId="0" fontId="10" fillId="0" borderId="31" xfId="1" applyFont="1" applyBorder="1" applyAlignment="1">
      <alignment horizontal="left" vertical="center"/>
    </xf>
    <xf numFmtId="0" fontId="10" fillId="0" borderId="30" xfId="1" applyFont="1" applyBorder="1" applyAlignment="1">
      <alignment horizontal="left" vertical="center"/>
    </xf>
    <xf numFmtId="0" fontId="10" fillId="0" borderId="29" xfId="1" applyFont="1" applyBorder="1" applyAlignment="1">
      <alignment horizontal="left" vertical="center"/>
    </xf>
    <xf numFmtId="0" fontId="10" fillId="0" borderId="4" xfId="1" applyFont="1" applyBorder="1" applyAlignment="1">
      <alignment horizontal="left" vertical="center"/>
    </xf>
    <xf numFmtId="0" fontId="10" fillId="0" borderId="2" xfId="1" applyFont="1" applyBorder="1" applyAlignment="1">
      <alignment horizontal="left" vertical="center"/>
    </xf>
    <xf numFmtId="0" fontId="12" fillId="0" borderId="138" xfId="1" applyFont="1" applyBorder="1" applyAlignment="1">
      <alignment horizontal="left" vertical="center"/>
    </xf>
    <xf numFmtId="0" fontId="12" fillId="0" borderId="58" xfId="1" applyFont="1" applyBorder="1" applyAlignment="1">
      <alignment horizontal="left" vertical="center"/>
    </xf>
    <xf numFmtId="0" fontId="12" fillId="0" borderId="139" xfId="1" applyFont="1" applyBorder="1" applyAlignment="1">
      <alignment horizontal="left" vertical="center"/>
    </xf>
    <xf numFmtId="0" fontId="12" fillId="0" borderId="37" xfId="1" applyFont="1" applyBorder="1" applyAlignment="1">
      <alignment horizontal="left" vertical="center"/>
    </xf>
    <xf numFmtId="0" fontId="12" fillId="0" borderId="1" xfId="1" applyFont="1" applyBorder="1" applyAlignment="1">
      <alignment horizontal="left" vertical="center"/>
    </xf>
    <xf numFmtId="0" fontId="12" fillId="0" borderId="4" xfId="1" applyFont="1" applyBorder="1" applyAlignment="1">
      <alignment horizontal="left" vertical="center"/>
    </xf>
    <xf numFmtId="0" fontId="12" fillId="0" borderId="2" xfId="1" applyFont="1" applyBorder="1" applyAlignment="1">
      <alignment horizontal="left" vertical="center"/>
    </xf>
    <xf numFmtId="0" fontId="12" fillId="0" borderId="54" xfId="1" applyFont="1" applyBorder="1" applyAlignment="1">
      <alignment horizontal="left" vertical="center"/>
    </xf>
    <xf numFmtId="0" fontId="14" fillId="6" borderId="17" xfId="1" applyFont="1" applyFill="1" applyBorder="1" applyAlignment="1">
      <alignment horizontal="center" vertical="center"/>
    </xf>
    <xf numFmtId="0" fontId="12" fillId="0" borderId="11" xfId="1" applyFont="1" applyBorder="1" applyAlignment="1">
      <alignment horizontal="left" vertical="center"/>
    </xf>
    <xf numFmtId="0" fontId="12" fillId="0" borderId="0" xfId="1" applyFont="1" applyAlignment="1">
      <alignment horizontal="left" vertical="center"/>
    </xf>
    <xf numFmtId="0" fontId="10" fillId="0" borderId="90" xfId="1" applyFont="1" applyBorder="1" applyAlignment="1">
      <alignment horizontal="left" vertical="center"/>
    </xf>
    <xf numFmtId="0" fontId="10" fillId="0" borderId="89" xfId="1" applyFont="1" applyBorder="1" applyAlignment="1">
      <alignment horizontal="left" vertical="center"/>
    </xf>
    <xf numFmtId="0" fontId="10" fillId="0" borderId="88" xfId="1" applyFont="1" applyBorder="1" applyAlignment="1">
      <alignment horizontal="left" vertical="center"/>
    </xf>
    <xf numFmtId="0" fontId="10" fillId="0" borderId="86" xfId="1" applyFont="1" applyBorder="1" applyAlignment="1">
      <alignment horizontal="left" vertical="center"/>
    </xf>
    <xf numFmtId="0" fontId="10" fillId="0" borderId="85" xfId="1" applyFont="1" applyBorder="1" applyAlignment="1">
      <alignment horizontal="left" vertical="center"/>
    </xf>
    <xf numFmtId="0" fontId="10" fillId="0" borderId="84" xfId="1" applyFont="1" applyBorder="1" applyAlignment="1">
      <alignment horizontal="left" vertical="center"/>
    </xf>
    <xf numFmtId="0" fontId="12" fillId="0" borderId="96" xfId="1" applyFont="1" applyBorder="1" applyAlignment="1">
      <alignment horizontal="left" vertical="center"/>
    </xf>
    <xf numFmtId="0" fontId="12" fillId="0" borderId="95" xfId="1" applyFont="1" applyBorder="1" applyAlignment="1">
      <alignment horizontal="left" vertical="center"/>
    </xf>
    <xf numFmtId="0" fontId="12" fillId="0" borderId="94" xfId="1" applyFont="1" applyBorder="1" applyAlignment="1">
      <alignment horizontal="left" vertical="center"/>
    </xf>
    <xf numFmtId="0" fontId="12" fillId="0" borderId="93" xfId="1" applyFont="1" applyBorder="1" applyAlignment="1">
      <alignment horizontal="left" vertical="center"/>
    </xf>
    <xf numFmtId="0" fontId="12" fillId="0" borderId="92" xfId="1" applyFont="1" applyBorder="1" applyAlignment="1">
      <alignment horizontal="left" vertical="center"/>
    </xf>
    <xf numFmtId="0" fontId="12" fillId="0" borderId="91" xfId="1" applyFont="1" applyBorder="1" applyAlignment="1">
      <alignment horizontal="left" vertical="center"/>
    </xf>
    <xf numFmtId="0" fontId="68" fillId="0" borderId="14" xfId="12" applyFont="1" applyBorder="1" applyAlignment="1">
      <alignment horizontal="center" vertical="center" wrapText="1"/>
    </xf>
    <xf numFmtId="0" fontId="68" fillId="0" borderId="38" xfId="12" applyFont="1" applyBorder="1" applyAlignment="1">
      <alignment horizontal="center" vertical="center" wrapText="1"/>
    </xf>
    <xf numFmtId="0" fontId="68" fillId="0" borderId="3" xfId="12" applyFont="1" applyBorder="1" applyAlignment="1">
      <alignment horizontal="center" vertical="center" wrapText="1"/>
    </xf>
    <xf numFmtId="0" fontId="66" fillId="0" borderId="2" xfId="12" applyFont="1" applyBorder="1" applyAlignment="1">
      <alignment horizontal="center"/>
    </xf>
    <xf numFmtId="0" fontId="69" fillId="41" borderId="135" xfId="12" applyFont="1" applyFill="1" applyBorder="1" applyAlignment="1">
      <alignment horizontal="center" vertical="center" wrapText="1"/>
    </xf>
    <xf numFmtId="0" fontId="69" fillId="41" borderId="6" xfId="12" applyFont="1" applyFill="1" applyBorder="1" applyAlignment="1">
      <alignment horizontal="center" vertical="center" wrapText="1"/>
    </xf>
    <xf numFmtId="0" fontId="69" fillId="41" borderId="5" xfId="12" applyFont="1" applyFill="1" applyBorder="1" applyAlignment="1">
      <alignment horizontal="center" vertical="center" wrapText="1"/>
    </xf>
    <xf numFmtId="0" fontId="68" fillId="0" borderId="0" xfId="12" applyFont="1" applyAlignment="1">
      <alignment horizontal="left" vertical="center" wrapText="1"/>
    </xf>
    <xf numFmtId="0" fontId="69" fillId="44" borderId="135" xfId="12" applyFont="1" applyFill="1" applyBorder="1" applyAlignment="1">
      <alignment horizontal="center" vertical="center" wrapText="1"/>
    </xf>
    <xf numFmtId="0" fontId="69" fillId="44" borderId="6" xfId="12" applyFont="1" applyFill="1" applyBorder="1" applyAlignment="1">
      <alignment horizontal="center" vertical="center" wrapText="1"/>
    </xf>
    <xf numFmtId="0" fontId="69" fillId="44" borderId="5" xfId="12" applyFont="1" applyFill="1" applyBorder="1" applyAlignment="1">
      <alignment horizontal="center" vertical="center" wrapText="1"/>
    </xf>
    <xf numFmtId="0" fontId="68" fillId="39" borderId="135" xfId="12" applyFont="1" applyFill="1" applyBorder="1" applyAlignment="1">
      <alignment horizontal="center" vertical="center" wrapText="1"/>
    </xf>
    <xf numFmtId="0" fontId="68" fillId="39" borderId="6" xfId="12" applyFont="1" applyFill="1" applyBorder="1" applyAlignment="1">
      <alignment horizontal="center" vertical="center" wrapText="1"/>
    </xf>
    <xf numFmtId="0" fontId="68" fillId="39" borderId="5" xfId="12" applyFont="1" applyFill="1" applyBorder="1" applyAlignment="1">
      <alignment horizontal="center" vertical="center" wrapText="1"/>
    </xf>
    <xf numFmtId="0" fontId="68" fillId="0" borderId="135" xfId="12" applyFont="1" applyBorder="1" applyAlignment="1">
      <alignment horizontal="center" vertical="center" wrapText="1"/>
    </xf>
    <xf numFmtId="0" fontId="68" fillId="0" borderId="6" xfId="12" applyFont="1" applyBorder="1" applyAlignment="1">
      <alignment horizontal="center" vertical="center" wrapText="1"/>
    </xf>
    <xf numFmtId="0" fontId="68" fillId="0" borderId="5" xfId="12" applyFont="1" applyBorder="1" applyAlignment="1">
      <alignment horizontal="center" vertical="center" wrapText="1"/>
    </xf>
    <xf numFmtId="0" fontId="74" fillId="0" borderId="1" xfId="12" applyFont="1" applyBorder="1" applyAlignment="1">
      <alignment horizontal="center" vertical="center" wrapText="1"/>
    </xf>
    <xf numFmtId="0" fontId="74" fillId="0" borderId="15" xfId="12" applyFont="1" applyBorder="1" applyAlignment="1">
      <alignment horizontal="center" vertical="center" wrapText="1"/>
    </xf>
    <xf numFmtId="0" fontId="68" fillId="0" borderId="135" xfId="12" applyFont="1" applyBorder="1" applyAlignment="1">
      <alignment horizontal="center" vertical="center"/>
    </xf>
    <xf numFmtId="0" fontId="68" fillId="0" borderId="6" xfId="12" applyFont="1" applyBorder="1" applyAlignment="1">
      <alignment horizontal="center" vertical="center"/>
    </xf>
    <xf numFmtId="0" fontId="68" fillId="0" borderId="5" xfId="12" applyFont="1" applyBorder="1" applyAlignment="1">
      <alignment horizontal="center" vertical="center"/>
    </xf>
    <xf numFmtId="0" fontId="68" fillId="39" borderId="135" xfId="12" applyFont="1" applyFill="1" applyBorder="1" applyAlignment="1">
      <alignment horizontal="center" vertical="center"/>
    </xf>
    <xf numFmtId="0" fontId="68" fillId="39" borderId="6" xfId="12" applyFont="1" applyFill="1" applyBorder="1" applyAlignment="1">
      <alignment horizontal="center" vertical="center"/>
    </xf>
    <xf numFmtId="0" fontId="68" fillId="39" borderId="5" xfId="12" applyFont="1" applyFill="1" applyBorder="1" applyAlignment="1">
      <alignment horizontal="center" vertical="center"/>
    </xf>
    <xf numFmtId="177" fontId="70" fillId="0" borderId="14" xfId="12" applyNumberFormat="1" applyFont="1" applyBorder="1" applyAlignment="1">
      <alignment horizontal="center" vertical="top" wrapText="1"/>
    </xf>
    <xf numFmtId="177" fontId="70" fillId="0" borderId="38" xfId="12" applyNumberFormat="1" applyFont="1" applyBorder="1" applyAlignment="1">
      <alignment horizontal="center" vertical="top" wrapText="1"/>
    </xf>
    <xf numFmtId="0" fontId="79" fillId="41" borderId="135" xfId="12" applyFont="1" applyFill="1" applyBorder="1" applyAlignment="1">
      <alignment horizontal="center" vertical="center" wrapText="1"/>
    </xf>
    <xf numFmtId="0" fontId="79" fillId="41" borderId="5" xfId="12" applyFont="1" applyFill="1" applyBorder="1" applyAlignment="1">
      <alignment horizontal="center" vertical="center" wrapText="1"/>
    </xf>
    <xf numFmtId="0" fontId="79" fillId="0" borderId="135" xfId="12" applyFont="1" applyBorder="1" applyAlignment="1">
      <alignment horizontal="center" vertical="center" wrapText="1"/>
    </xf>
    <xf numFmtId="0" fontId="79" fillId="0" borderId="5" xfId="12" applyFont="1" applyBorder="1" applyAlignment="1">
      <alignment horizontal="center" vertical="center" wrapText="1"/>
    </xf>
    <xf numFmtId="0" fontId="79" fillId="41" borderId="6" xfId="12" applyFont="1" applyFill="1" applyBorder="1" applyAlignment="1">
      <alignment horizontal="center" vertical="center" wrapText="1"/>
    </xf>
    <xf numFmtId="0" fontId="79" fillId="0" borderId="144" xfId="12" applyFont="1" applyBorder="1" applyAlignment="1">
      <alignment horizontal="center" vertical="center" wrapText="1"/>
    </xf>
    <xf numFmtId="0" fontId="79" fillId="0" borderId="6" xfId="12" applyFont="1" applyBorder="1" applyAlignment="1">
      <alignment horizontal="center" vertical="center" wrapText="1"/>
    </xf>
    <xf numFmtId="0" fontId="79" fillId="48" borderId="14" xfId="12" applyFont="1" applyFill="1" applyBorder="1" applyAlignment="1">
      <alignment horizontal="center" vertical="center" wrapText="1"/>
    </xf>
    <xf numFmtId="0" fontId="79" fillId="48" borderId="3" xfId="12" applyFont="1" applyFill="1" applyBorder="1" applyAlignment="1">
      <alignment horizontal="center" vertical="center" wrapText="1"/>
    </xf>
    <xf numFmtId="0" fontId="79" fillId="44" borderId="135" xfId="12" applyFont="1" applyFill="1" applyBorder="1" applyAlignment="1">
      <alignment horizontal="center" vertical="center" wrapText="1"/>
    </xf>
    <xf numFmtId="0" fontId="79" fillId="44" borderId="5" xfId="12" applyFont="1" applyFill="1" applyBorder="1" applyAlignment="1">
      <alignment horizontal="center" vertical="center" wrapText="1"/>
    </xf>
    <xf numFmtId="0" fontId="79" fillId="41" borderId="145" xfId="12" applyFont="1" applyFill="1" applyBorder="1" applyAlignment="1">
      <alignment horizontal="center" vertical="center" wrapText="1"/>
    </xf>
    <xf numFmtId="0" fontId="79" fillId="44" borderId="2" xfId="12" applyFont="1" applyFill="1" applyBorder="1" applyAlignment="1">
      <alignment horizontal="center" vertical="center" wrapText="1"/>
    </xf>
    <xf numFmtId="0" fontId="79" fillId="48" borderId="38" xfId="12" applyFont="1" applyFill="1" applyBorder="1" applyAlignment="1">
      <alignment horizontal="center" vertical="center" wrapText="1"/>
    </xf>
    <xf numFmtId="0" fontId="6" fillId="0" borderId="143" xfId="12" applyFont="1" applyBorder="1" applyAlignment="1">
      <alignment horizontal="center" vertical="center" wrapText="1"/>
    </xf>
    <xf numFmtId="0" fontId="6" fillId="0" borderId="0" xfId="12" applyFont="1" applyAlignment="1">
      <alignment horizontal="center" vertical="center" wrapText="1"/>
    </xf>
    <xf numFmtId="0" fontId="6" fillId="0" borderId="144" xfId="12" applyFont="1" applyBorder="1" applyAlignment="1">
      <alignment horizontal="center" vertical="center" wrapText="1"/>
    </xf>
    <xf numFmtId="0" fontId="6" fillId="46" borderId="143" xfId="12" applyFont="1" applyFill="1" applyBorder="1" applyAlignment="1">
      <alignment horizontal="center" vertical="center" wrapText="1"/>
    </xf>
    <xf numFmtId="0" fontId="6" fillId="46" borderId="0" xfId="12" applyFont="1" applyFill="1" applyAlignment="1">
      <alignment horizontal="center" vertical="center" wrapText="1"/>
    </xf>
    <xf numFmtId="0" fontId="6" fillId="46" borderId="144" xfId="12" applyFont="1" applyFill="1" applyBorder="1" applyAlignment="1">
      <alignment horizontal="center" vertical="center" wrapText="1"/>
    </xf>
    <xf numFmtId="0" fontId="6" fillId="46" borderId="147" xfId="12" applyFont="1" applyFill="1" applyBorder="1" applyAlignment="1">
      <alignment horizontal="center" vertical="center" wrapText="1"/>
    </xf>
    <xf numFmtId="0" fontId="6" fillId="46" borderId="16" xfId="12" applyFont="1" applyFill="1" applyBorder="1" applyAlignment="1">
      <alignment horizontal="center" vertical="center" wrapText="1"/>
    </xf>
    <xf numFmtId="0" fontId="6" fillId="46" borderId="146" xfId="12" applyFont="1" applyFill="1" applyBorder="1" applyAlignment="1">
      <alignment horizontal="center" vertical="center" wrapText="1"/>
    </xf>
    <xf numFmtId="0" fontId="79" fillId="48" borderId="34" xfId="12" applyFont="1" applyFill="1" applyBorder="1" applyAlignment="1">
      <alignment horizontal="center" vertical="center" wrapText="1"/>
    </xf>
    <xf numFmtId="0" fontId="79" fillId="0" borderId="145" xfId="12" applyFont="1" applyBorder="1" applyAlignment="1">
      <alignment horizontal="center" vertical="center" wrapText="1"/>
    </xf>
    <xf numFmtId="0" fontId="79" fillId="0" borderId="15" xfId="12" applyFont="1" applyBorder="1" applyAlignment="1">
      <alignment horizontal="center" vertical="center" wrapText="1"/>
    </xf>
    <xf numFmtId="0" fontId="79" fillId="0" borderId="2" xfId="12" applyFont="1" applyBorder="1" applyAlignment="1">
      <alignment horizontal="center" vertical="center" wrapText="1"/>
    </xf>
    <xf numFmtId="165" fontId="1" fillId="40" borderId="0" xfId="1" applyNumberFormat="1" applyFill="1" applyAlignment="1">
      <alignment horizontal="center" vertical="center"/>
    </xf>
    <xf numFmtId="41" fontId="6" fillId="40" borderId="0" xfId="11" applyFont="1" applyFill="1" applyBorder="1"/>
    <xf numFmtId="182" fontId="2" fillId="0" borderId="0" xfId="12" applyNumberFormat="1" applyFont="1"/>
    <xf numFmtId="182" fontId="2" fillId="0" borderId="148" xfId="12" applyNumberFormat="1" applyFont="1" applyBorder="1"/>
    <xf numFmtId="0" fontId="1" fillId="0" borderId="148" xfId="12" applyBorder="1"/>
    <xf numFmtId="0" fontId="2" fillId="0" borderId="148" xfId="12" applyFont="1" applyBorder="1"/>
    <xf numFmtId="182" fontId="1" fillId="41" borderId="2" xfId="12" applyNumberFormat="1" applyFill="1" applyBorder="1"/>
    <xf numFmtId="0" fontId="2" fillId="41" borderId="2" xfId="12" applyFont="1" applyFill="1" applyBorder="1"/>
    <xf numFmtId="0" fontId="1" fillId="41" borderId="0" xfId="12" applyFill="1"/>
    <xf numFmtId="0" fontId="20" fillId="41" borderId="0" xfId="12" applyFont="1" applyFill="1"/>
    <xf numFmtId="182" fontId="0" fillId="41" borderId="0" xfId="248" applyNumberFormat="1" applyFont="1" applyFill="1"/>
    <xf numFmtId="182" fontId="0" fillId="41" borderId="2" xfId="248" applyNumberFormat="1" applyFont="1" applyFill="1" applyBorder="1"/>
    <xf numFmtId="0" fontId="2" fillId="0" borderId="0" xfId="12" applyFont="1" applyAlignment="1">
      <alignment horizontal="center"/>
    </xf>
    <xf numFmtId="165" fontId="20" fillId="0" borderId="0" xfId="12" applyNumberFormat="1" applyFont="1"/>
    <xf numFmtId="165" fontId="1" fillId="0" borderId="0" xfId="12" applyNumberFormat="1"/>
    <xf numFmtId="182" fontId="2" fillId="0" borderId="149" xfId="12" applyNumberFormat="1" applyFont="1" applyBorder="1"/>
    <xf numFmtId="182" fontId="0" fillId="0" borderId="15" xfId="248" applyNumberFormat="1" applyFont="1" applyFill="1" applyBorder="1"/>
    <xf numFmtId="0" fontId="2" fillId="0" borderId="57" xfId="12" applyFont="1" applyBorder="1" applyAlignment="1">
      <alignment wrapText="1"/>
    </xf>
    <xf numFmtId="182" fontId="0" fillId="0" borderId="144" xfId="248" applyNumberFormat="1" applyFont="1" applyFill="1" applyBorder="1"/>
    <xf numFmtId="0" fontId="2" fillId="0" borderId="143" xfId="12" applyFont="1" applyBorder="1" applyAlignment="1">
      <alignment wrapText="1"/>
    </xf>
    <xf numFmtId="182" fontId="0" fillId="0" borderId="149" xfId="248" applyNumberFormat="1" applyFont="1" applyBorder="1"/>
    <xf numFmtId="182" fontId="1" fillId="0" borderId="15" xfId="12" applyNumberFormat="1" applyFill="1" applyBorder="1"/>
    <xf numFmtId="182" fontId="1" fillId="0" borderId="1" xfId="12" applyNumberFormat="1" applyFill="1" applyBorder="1"/>
    <xf numFmtId="182" fontId="1" fillId="0" borderId="144" xfId="12" applyNumberFormat="1" applyFill="1" applyBorder="1"/>
    <xf numFmtId="182" fontId="1" fillId="0" borderId="0" xfId="12" applyNumberFormat="1" applyFill="1" applyBorder="1"/>
    <xf numFmtId="182" fontId="1" fillId="34" borderId="144" xfId="12" applyNumberFormat="1" applyFill="1" applyBorder="1"/>
    <xf numFmtId="182" fontId="1" fillId="34" borderId="0" xfId="12" applyNumberFormat="1" applyFill="1"/>
    <xf numFmtId="182" fontId="1" fillId="0" borderId="149" xfId="12" applyNumberFormat="1" applyBorder="1"/>
    <xf numFmtId="182" fontId="1" fillId="0" borderId="150" xfId="12" applyNumberFormat="1" applyBorder="1"/>
    <xf numFmtId="3" fontId="20" fillId="0" borderId="0" xfId="12" applyNumberFormat="1" applyFont="1"/>
    <xf numFmtId="182" fontId="0" fillId="0" borderId="0" xfId="248" applyNumberFormat="1" applyFont="1" applyFill="1"/>
    <xf numFmtId="182" fontId="20" fillId="0" borderId="0" xfId="248" applyNumberFormat="1" applyFont="1" applyFill="1" applyBorder="1" applyAlignment="1">
      <alignment vertical="center" wrapText="1"/>
    </xf>
    <xf numFmtId="182" fontId="6" fillId="46" borderId="2" xfId="248" applyNumberFormat="1" applyFont="1" applyFill="1" applyBorder="1" applyAlignment="1">
      <alignment wrapText="1"/>
    </xf>
    <xf numFmtId="182" fontId="79" fillId="0" borderId="0" xfId="248" applyNumberFormat="1" applyFont="1" applyFill="1" applyBorder="1" applyAlignment="1">
      <alignment horizontal="center" vertical="center" wrapText="1"/>
    </xf>
    <xf numFmtId="182" fontId="20" fillId="41" borderId="2" xfId="248" applyNumberFormat="1" applyFont="1" applyFill="1" applyBorder="1" applyAlignment="1">
      <alignment horizontal="center" wrapText="1"/>
    </xf>
    <xf numFmtId="0" fontId="1" fillId="0" borderId="2" xfId="12" applyBorder="1" applyAlignment="1">
      <alignment horizontal="center" vertical="center" wrapText="1"/>
    </xf>
    <xf numFmtId="0" fontId="79" fillId="0" borderId="149" xfId="12" applyFont="1" applyBorder="1" applyAlignment="1">
      <alignment horizontal="center" vertical="center" wrapText="1"/>
    </xf>
    <xf numFmtId="184" fontId="20" fillId="0" borderId="0" xfId="248" applyNumberFormat="1" applyFont="1" applyFill="1" applyBorder="1" applyAlignment="1">
      <alignment vertical="center" wrapText="1"/>
    </xf>
    <xf numFmtId="0" fontId="79" fillId="0" borderId="149" xfId="12" applyFont="1" applyBorder="1" applyAlignment="1">
      <alignment horizontal="center" vertical="center" wrapText="1"/>
    </xf>
    <xf numFmtId="182" fontId="20" fillId="0" borderId="0" xfId="248" applyNumberFormat="1" applyFont="1" applyFill="1" applyBorder="1" applyAlignment="1">
      <alignment horizontal="center" vertical="center" wrapText="1"/>
    </xf>
    <xf numFmtId="182" fontId="20" fillId="44" borderId="2" xfId="248" applyNumberFormat="1" applyFont="1" applyFill="1" applyBorder="1" applyAlignment="1">
      <alignment horizontal="center" vertical="center" wrapText="1"/>
    </xf>
    <xf numFmtId="182" fontId="20" fillId="41" borderId="5" xfId="248" applyNumberFormat="1" applyFont="1" applyFill="1" applyBorder="1" applyAlignment="1">
      <alignment horizontal="center" wrapText="1"/>
    </xf>
    <xf numFmtId="182" fontId="6" fillId="46" borderId="52" xfId="248" applyNumberFormat="1" applyFont="1" applyFill="1" applyBorder="1" applyAlignment="1">
      <alignment horizontal="center" wrapText="1"/>
    </xf>
    <xf numFmtId="182" fontId="20" fillId="48" borderId="6" xfId="248" applyNumberFormat="1" applyFont="1" applyFill="1" applyBorder="1" applyAlignment="1">
      <alignment horizontal="center" vertical="center" wrapText="1"/>
    </xf>
    <xf numFmtId="182" fontId="20" fillId="41" borderId="2" xfId="248" applyNumberFormat="1" applyFont="1" applyFill="1" applyBorder="1" applyAlignment="1">
      <alignment horizontal="center" vertical="center" wrapText="1"/>
    </xf>
    <xf numFmtId="173" fontId="20" fillId="48" borderId="6" xfId="248" applyNumberFormat="1" applyFont="1" applyFill="1" applyBorder="1" applyAlignment="1">
      <alignment horizontal="center" vertical="center" wrapText="1"/>
    </xf>
    <xf numFmtId="182" fontId="20" fillId="41" borderId="5" xfId="248" applyNumberFormat="1" applyFont="1" applyFill="1" applyBorder="1" applyAlignment="1">
      <alignment horizontal="center" vertical="center" wrapText="1"/>
    </xf>
    <xf numFmtId="173" fontId="20" fillId="48" borderId="2" xfId="248" applyNumberFormat="1" applyFont="1" applyFill="1" applyBorder="1" applyAlignment="1">
      <alignment horizontal="center" vertical="center" wrapText="1"/>
    </xf>
    <xf numFmtId="182" fontId="20" fillId="48" borderId="2" xfId="248" applyNumberFormat="1" applyFont="1" applyFill="1" applyBorder="1" applyAlignment="1">
      <alignment horizontal="center" vertical="center" wrapText="1"/>
    </xf>
    <xf numFmtId="0" fontId="79" fillId="48" borderId="149" xfId="12" applyFont="1" applyFill="1" applyBorder="1" applyAlignment="1">
      <alignment horizontal="center" vertical="center" wrapText="1"/>
    </xf>
    <xf numFmtId="182" fontId="20" fillId="48" borderId="5" xfId="248" applyNumberFormat="1" applyFont="1" applyFill="1" applyBorder="1" applyAlignment="1">
      <alignment horizontal="center" vertical="center" wrapText="1"/>
    </xf>
    <xf numFmtId="173" fontId="20" fillId="48" borderId="5" xfId="248" applyNumberFormat="1" applyFont="1" applyFill="1" applyBorder="1" applyAlignment="1">
      <alignment horizontal="center" vertical="center" wrapText="1"/>
    </xf>
    <xf numFmtId="0" fontId="20" fillId="44" borderId="5" xfId="12" applyFont="1" applyFill="1" applyBorder="1" applyAlignment="1">
      <alignment horizontal="center" vertical="center" wrapText="1"/>
    </xf>
    <xf numFmtId="0" fontId="20" fillId="44" borderId="135" xfId="12" applyFont="1" applyFill="1" applyBorder="1" applyAlignment="1">
      <alignment horizontal="center" vertical="center" wrapText="1"/>
    </xf>
    <xf numFmtId="185" fontId="79" fillId="0" borderId="0" xfId="248" applyNumberFormat="1" applyFont="1" applyFill="1" applyBorder="1" applyAlignment="1">
      <alignment horizontal="center" vertical="center" wrapText="1"/>
    </xf>
    <xf numFmtId="182" fontId="20" fillId="40" borderId="0" xfId="248" applyNumberFormat="1" applyFont="1" applyFill="1" applyBorder="1" applyAlignment="1">
      <alignment vertical="center" wrapText="1"/>
    </xf>
    <xf numFmtId="182" fontId="20" fillId="40" borderId="2" xfId="248" applyNumberFormat="1" applyFont="1" applyFill="1" applyBorder="1" applyAlignment="1">
      <alignment horizontal="center" vertical="center" wrapText="1"/>
    </xf>
    <xf numFmtId="0" fontId="20" fillId="40" borderId="2" xfId="12" applyFont="1" applyFill="1" applyBorder="1" applyAlignment="1">
      <alignment horizontal="center" vertical="center" wrapText="1"/>
    </xf>
    <xf numFmtId="0" fontId="20" fillId="40" borderId="5" xfId="12" applyFont="1" applyFill="1" applyBorder="1" applyAlignment="1">
      <alignment vertical="center" wrapText="1"/>
    </xf>
    <xf numFmtId="0" fontId="20" fillId="40" borderId="5" xfId="12" applyFont="1" applyFill="1" applyBorder="1" applyAlignment="1">
      <alignment horizontal="center" vertical="center" wrapText="1"/>
    </xf>
    <xf numFmtId="173" fontId="20" fillId="0" borderId="0" xfId="248" applyNumberFormat="1" applyFont="1" applyFill="1" applyBorder="1" applyAlignment="1">
      <alignment vertical="center" wrapText="1"/>
    </xf>
    <xf numFmtId="185" fontId="20" fillId="0" borderId="0" xfId="248" applyNumberFormat="1" applyFont="1" applyFill="1" applyBorder="1" applyAlignment="1">
      <alignment vertical="center" wrapText="1"/>
    </xf>
    <xf numFmtId="165" fontId="67" fillId="0" borderId="0" xfId="251" applyNumberFormat="1" applyFont="1" applyFill="1" applyBorder="1" applyAlignment="1">
      <alignment horizontal="left" vertical="top" wrapText="1"/>
    </xf>
    <xf numFmtId="0" fontId="68" fillId="0" borderId="0" xfId="12" applyFont="1" applyAlignment="1">
      <alignment horizontal="right"/>
    </xf>
    <xf numFmtId="9" fontId="68" fillId="0" borderId="2" xfId="4" applyFont="1" applyBorder="1" applyAlignment="1">
      <alignment horizontal="center" vertical="center" wrapText="1"/>
    </xf>
    <xf numFmtId="0" fontId="66" fillId="0" borderId="2" xfId="12" applyFont="1" applyBorder="1" applyAlignment="1">
      <alignment wrapText="1"/>
    </xf>
    <xf numFmtId="0" fontId="66" fillId="0" borderId="2" xfId="12" applyFont="1" applyBorder="1" applyAlignment="1">
      <alignment horizontal="center" vertical="center"/>
    </xf>
    <xf numFmtId="0" fontId="71" fillId="42" borderId="2" xfId="12" applyFont="1" applyFill="1" applyBorder="1" applyAlignment="1">
      <alignment horizontal="center" vertical="center"/>
    </xf>
    <xf numFmtId="179" fontId="69" fillId="42" borderId="14" xfId="12" applyNumberFormat="1" applyFont="1" applyFill="1" applyBorder="1" applyAlignment="1">
      <alignment horizontal="center" vertical="center" wrapText="1"/>
    </xf>
    <xf numFmtId="3" fontId="71" fillId="42" borderId="2" xfId="12" applyNumberFormat="1" applyFont="1" applyFill="1" applyBorder="1" applyAlignment="1">
      <alignment horizontal="center" vertical="center" wrapText="1"/>
    </xf>
    <xf numFmtId="177" fontId="71" fillId="42" borderId="2" xfId="12" applyNumberFormat="1" applyFont="1" applyFill="1" applyBorder="1" applyAlignment="1">
      <alignment horizontal="center" vertical="center"/>
    </xf>
    <xf numFmtId="165" fontId="71" fillId="42" borderId="2" xfId="12" applyNumberFormat="1" applyFont="1" applyFill="1" applyBorder="1" applyAlignment="1">
      <alignment horizontal="center" vertical="center"/>
    </xf>
    <xf numFmtId="0" fontId="69" fillId="42" borderId="2" xfId="12" applyFont="1" applyFill="1" applyBorder="1" applyAlignment="1">
      <alignment horizontal="center" vertical="center" wrapText="1"/>
    </xf>
    <xf numFmtId="173" fontId="72" fillId="43" borderId="0" xfId="250" applyNumberFormat="1" applyFont="1" applyFill="1"/>
    <xf numFmtId="179" fontId="72" fillId="43" borderId="0" xfId="12" applyNumberFormat="1" applyFont="1" applyFill="1"/>
    <xf numFmtId="0" fontId="71" fillId="42" borderId="2" xfId="12" applyFont="1" applyFill="1" applyBorder="1" applyAlignment="1">
      <alignment horizontal="center"/>
    </xf>
    <xf numFmtId="0" fontId="66" fillId="0" borderId="5" xfId="12" applyFont="1" applyBorder="1" applyAlignment="1">
      <alignment horizontal="center" vertical="center" wrapText="1"/>
    </xf>
    <xf numFmtId="3" fontId="66" fillId="0" borderId="2" xfId="12" applyNumberFormat="1" applyFont="1" applyBorder="1" applyAlignment="1">
      <alignment horizontal="center" vertical="center"/>
    </xf>
    <xf numFmtId="0" fontId="66" fillId="0" borderId="6" xfId="12" applyFont="1" applyBorder="1" applyAlignment="1">
      <alignment horizontal="center" vertical="center" wrapText="1"/>
    </xf>
    <xf numFmtId="0" fontId="66" fillId="0" borderId="135" xfId="12" applyFont="1" applyBorder="1" applyAlignment="1">
      <alignment horizontal="center" vertical="center" wrapText="1"/>
    </xf>
    <xf numFmtId="0" fontId="68" fillId="43" borderId="38" xfId="12" applyFont="1" applyFill="1" applyBorder="1" applyAlignment="1">
      <alignment horizontal="center" vertical="center" wrapText="1"/>
    </xf>
    <xf numFmtId="0" fontId="68" fillId="43" borderId="14" xfId="12" applyFont="1" applyFill="1" applyBorder="1" applyAlignment="1">
      <alignment horizontal="center" vertical="center" wrapText="1"/>
    </xf>
    <xf numFmtId="0" fontId="71" fillId="0" borderId="5" xfId="12" applyFont="1" applyBorder="1" applyAlignment="1">
      <alignment horizontal="center"/>
    </xf>
    <xf numFmtId="0" fontId="71" fillId="0" borderId="5" xfId="12" applyFont="1" applyBorder="1" applyAlignment="1">
      <alignment horizontal="center" vertical="center"/>
    </xf>
    <xf numFmtId="179" fontId="69" fillId="0" borderId="14" xfId="12" applyNumberFormat="1" applyFont="1" applyBorder="1" applyAlignment="1">
      <alignment horizontal="center" vertical="center" wrapText="1"/>
    </xf>
    <xf numFmtId="3" fontId="71" fillId="0" borderId="2" xfId="12" applyNumberFormat="1" applyFont="1" applyBorder="1" applyAlignment="1">
      <alignment horizontal="center" vertical="center" wrapText="1"/>
    </xf>
    <xf numFmtId="165" fontId="71" fillId="0" borderId="2" xfId="12" applyNumberFormat="1" applyFont="1" applyBorder="1" applyAlignment="1">
      <alignment horizontal="center" vertical="center"/>
    </xf>
    <xf numFmtId="0" fontId="69" fillId="0" borderId="2" xfId="12" applyFont="1" applyBorder="1" applyAlignment="1">
      <alignment horizontal="left" vertical="center" wrapText="1"/>
    </xf>
    <xf numFmtId="0" fontId="69" fillId="0" borderId="2" xfId="12" applyFont="1" applyBorder="1" applyAlignment="1">
      <alignment horizontal="center" vertical="center" wrapText="1"/>
    </xf>
    <xf numFmtId="0" fontId="69" fillId="0" borderId="5" xfId="12" applyFont="1" applyBorder="1" applyAlignment="1">
      <alignment horizontal="center" vertical="center" wrapText="1"/>
    </xf>
    <xf numFmtId="0" fontId="71" fillId="0" borderId="6" xfId="12" applyFont="1" applyBorder="1" applyAlignment="1">
      <alignment horizontal="center"/>
    </xf>
    <xf numFmtId="0" fontId="71" fillId="0" borderId="6" xfId="12" applyFont="1" applyBorder="1" applyAlignment="1">
      <alignment horizontal="center" vertical="center"/>
    </xf>
    <xf numFmtId="179" fontId="71" fillId="0" borderId="14" xfId="12" applyNumberFormat="1" applyFont="1" applyBorder="1" applyAlignment="1">
      <alignment horizontal="center" vertical="center" wrapText="1"/>
    </xf>
    <xf numFmtId="0" fontId="69" fillId="0" borderId="6" xfId="12" applyFont="1" applyBorder="1" applyAlignment="1">
      <alignment horizontal="center" vertical="center" wrapText="1"/>
    </xf>
    <xf numFmtId="0" fontId="71" fillId="0" borderId="135" xfId="12" applyFont="1" applyBorder="1" applyAlignment="1">
      <alignment horizontal="center"/>
    </xf>
    <xf numFmtId="0" fontId="71" fillId="0" borderId="135" xfId="12" applyFont="1" applyBorder="1" applyAlignment="1">
      <alignment horizontal="center" vertical="center"/>
    </xf>
    <xf numFmtId="0" fontId="69" fillId="0" borderId="135" xfId="12" applyFont="1" applyBorder="1" applyAlignment="1">
      <alignment horizontal="center" vertical="center" wrapText="1"/>
    </xf>
    <xf numFmtId="180" fontId="72" fillId="43" borderId="0" xfId="249" applyNumberFormat="1" applyFont="1" applyFill="1"/>
    <xf numFmtId="0" fontId="71" fillId="0" borderId="2" xfId="12" applyFont="1" applyBorder="1" applyAlignment="1">
      <alignment horizontal="center" vertical="center"/>
    </xf>
    <xf numFmtId="0" fontId="69" fillId="0" borderId="5" xfId="12" applyFont="1" applyBorder="1" applyAlignment="1">
      <alignment horizontal="center" vertical="center" wrapText="1"/>
    </xf>
    <xf numFmtId="0" fontId="66" fillId="0" borderId="14" xfId="12" applyFont="1" applyBorder="1" applyAlignment="1">
      <alignment horizontal="center" vertical="center" wrapText="1"/>
    </xf>
    <xf numFmtId="0" fontId="66" fillId="0" borderId="2" xfId="12" applyFont="1" applyBorder="1" applyAlignment="1">
      <alignment horizontal="center" vertical="center" wrapText="1"/>
    </xf>
    <xf numFmtId="0" fontId="66" fillId="0" borderId="14" xfId="12" applyFont="1" applyBorder="1" applyAlignment="1">
      <alignment horizontal="center" wrapText="1"/>
    </xf>
    <xf numFmtId="0" fontId="66" fillId="0" borderId="0" xfId="12" applyFont="1" applyAlignment="1">
      <alignment horizontal="center"/>
    </xf>
    <xf numFmtId="0" fontId="66" fillId="0" borderId="5" xfId="12" applyFont="1" applyBorder="1" applyAlignment="1">
      <alignment horizontal="center" vertical="center"/>
    </xf>
    <xf numFmtId="0" fontId="66" fillId="0" borderId="6" xfId="12" applyFont="1" applyBorder="1" applyAlignment="1">
      <alignment horizontal="center" vertical="center"/>
    </xf>
    <xf numFmtId="179" fontId="66" fillId="0" borderId="2" xfId="12" applyNumberFormat="1" applyFont="1" applyBorder="1" applyAlignment="1">
      <alignment horizontal="center" vertical="center" wrapText="1"/>
    </xf>
    <xf numFmtId="179" fontId="66" fillId="40" borderId="2" xfId="12" applyNumberFormat="1" applyFont="1" applyFill="1" applyBorder="1" applyAlignment="1">
      <alignment horizontal="center" vertical="center" wrapText="1"/>
    </xf>
    <xf numFmtId="165" fontId="66" fillId="40" borderId="2" xfId="12" applyNumberFormat="1" applyFont="1" applyFill="1" applyBorder="1" applyAlignment="1">
      <alignment horizontal="center" vertical="center"/>
    </xf>
    <xf numFmtId="0" fontId="66" fillId="0" borderId="135" xfId="12" applyFont="1" applyBorder="1" applyAlignment="1">
      <alignment horizontal="center" vertical="center"/>
    </xf>
    <xf numFmtId="0" fontId="71" fillId="0" borderId="0" xfId="12" applyFont="1" applyAlignment="1">
      <alignment vertical="center" wrapText="1"/>
    </xf>
    <xf numFmtId="177" fontId="68" fillId="43" borderId="38" xfId="12" applyNumberFormat="1" applyFont="1" applyFill="1" applyBorder="1" applyAlignment="1">
      <alignment vertical="center" wrapText="1"/>
    </xf>
    <xf numFmtId="0" fontId="71" fillId="0" borderId="2" xfId="12" applyFont="1" applyBorder="1" applyAlignment="1">
      <alignment horizontal="center" vertical="center" wrapText="1"/>
    </xf>
    <xf numFmtId="0" fontId="69" fillId="39" borderId="2" xfId="12" applyFont="1" applyFill="1" applyBorder="1" applyAlignment="1">
      <alignment horizontal="center" vertical="center" wrapText="1"/>
    </xf>
    <xf numFmtId="179" fontId="68" fillId="42" borderId="14" xfId="12" applyNumberFormat="1" applyFont="1" applyFill="1" applyBorder="1" applyAlignment="1">
      <alignment horizontal="center" vertical="center" wrapText="1"/>
    </xf>
    <xf numFmtId="0" fontId="69" fillId="0" borderId="0" xfId="12" applyFont="1" applyAlignment="1">
      <alignment horizontal="center" vertical="center" wrapText="1"/>
    </xf>
    <xf numFmtId="0" fontId="66" fillId="40" borderId="2" xfId="12" applyFont="1" applyFill="1" applyBorder="1" applyAlignment="1">
      <alignment horizontal="center" vertical="center" wrapText="1"/>
    </xf>
    <xf numFmtId="180" fontId="66" fillId="0" borderId="0" xfId="249" applyNumberFormat="1" applyFont="1"/>
    <xf numFmtId="0" fontId="68" fillId="43" borderId="3" xfId="12" applyFont="1" applyFill="1" applyBorder="1" applyAlignment="1">
      <alignment horizontal="center" vertical="center" wrapText="1"/>
    </xf>
    <xf numFmtId="0" fontId="66" fillId="0" borderId="0" xfId="12" applyFont="1" applyAlignment="1">
      <alignment vertical="center" wrapText="1"/>
    </xf>
    <xf numFmtId="179" fontId="69" fillId="0" borderId="0" xfId="12" applyNumberFormat="1" applyFont="1" applyAlignment="1">
      <alignment horizontal="center" vertical="center" wrapText="1"/>
    </xf>
    <xf numFmtId="3" fontId="71" fillId="0" borderId="0" xfId="12" applyNumberFormat="1" applyFont="1" applyAlignment="1">
      <alignment horizontal="center" vertical="center" wrapText="1"/>
    </xf>
    <xf numFmtId="165" fontId="71" fillId="0" borderId="0" xfId="12" applyNumberFormat="1" applyFont="1" applyAlignment="1">
      <alignment horizontal="center" vertical="center" wrapText="1"/>
    </xf>
    <xf numFmtId="0" fontId="66" fillId="0" borderId="0" xfId="12" applyFont="1" applyAlignment="1">
      <alignment horizontal="left" vertical="center" wrapText="1"/>
    </xf>
    <xf numFmtId="0" fontId="68" fillId="0" borderId="0" xfId="12" applyFont="1" applyAlignment="1">
      <alignment horizontal="center" vertical="center"/>
    </xf>
    <xf numFmtId="165" fontId="71" fillId="0" borderId="2" xfId="12" applyNumberFormat="1" applyFont="1" applyBorder="1" applyAlignment="1">
      <alignment horizontal="center" vertical="center" wrapText="1"/>
    </xf>
    <xf numFmtId="0" fontId="66" fillId="40" borderId="14" xfId="12" applyFont="1" applyFill="1" applyBorder="1" applyAlignment="1">
      <alignment horizontal="center" wrapText="1"/>
    </xf>
    <xf numFmtId="0" fontId="69" fillId="40" borderId="2" xfId="12" applyFont="1" applyFill="1" applyBorder="1" applyAlignment="1">
      <alignment horizontal="center" vertical="center" wrapText="1"/>
    </xf>
    <xf numFmtId="179" fontId="69" fillId="40" borderId="14" xfId="12" applyNumberFormat="1" applyFont="1" applyFill="1" applyBorder="1" applyAlignment="1">
      <alignment horizontal="center" vertical="center" wrapText="1"/>
    </xf>
    <xf numFmtId="3" fontId="71" fillId="40" borderId="2" xfId="12" applyNumberFormat="1" applyFont="1" applyFill="1" applyBorder="1" applyAlignment="1">
      <alignment horizontal="center" vertical="center" wrapText="1"/>
    </xf>
    <xf numFmtId="165" fontId="71" fillId="40" borderId="2" xfId="12" applyNumberFormat="1" applyFont="1" applyFill="1" applyBorder="1" applyAlignment="1">
      <alignment horizontal="center" vertical="center" wrapText="1"/>
    </xf>
    <xf numFmtId="0" fontId="66" fillId="40" borderId="2" xfId="12" applyFont="1" applyFill="1" applyBorder="1" applyAlignment="1">
      <alignment horizontal="left" vertical="center" wrapText="1"/>
    </xf>
    <xf numFmtId="0" fontId="68" fillId="40" borderId="2" xfId="12" applyFont="1" applyFill="1" applyBorder="1" applyAlignment="1">
      <alignment horizontal="center" vertical="center"/>
    </xf>
    <xf numFmtId="0" fontId="80" fillId="42" borderId="2" xfId="12" applyFont="1" applyFill="1" applyBorder="1" applyAlignment="1">
      <alignment horizontal="center"/>
    </xf>
    <xf numFmtId="3" fontId="71" fillId="42" borderId="5" xfId="12" applyNumberFormat="1" applyFont="1" applyFill="1" applyBorder="1" applyAlignment="1">
      <alignment horizontal="center" vertical="center" wrapText="1"/>
    </xf>
    <xf numFmtId="165" fontId="71" fillId="42" borderId="5" xfId="12" applyNumberFormat="1" applyFont="1" applyFill="1" applyBorder="1" applyAlignment="1">
      <alignment horizontal="center" vertical="center" wrapText="1"/>
    </xf>
    <xf numFmtId="0" fontId="69" fillId="42" borderId="2" xfId="12" applyFont="1" applyFill="1" applyBorder="1" applyAlignment="1">
      <alignment horizontal="center" vertical="center"/>
    </xf>
    <xf numFmtId="179" fontId="69" fillId="0" borderId="2" xfId="12" applyNumberFormat="1" applyFont="1" applyBorder="1" applyAlignment="1">
      <alignment horizontal="center" vertical="center" wrapText="1"/>
    </xf>
    <xf numFmtId="179" fontId="69" fillId="0" borderId="38" xfId="12" applyNumberFormat="1" applyFont="1" applyBorder="1" applyAlignment="1">
      <alignment horizontal="center" vertical="center" wrapText="1"/>
    </xf>
    <xf numFmtId="165" fontId="71" fillId="0" borderId="3" xfId="12" applyNumberFormat="1" applyFont="1" applyFill="1" applyBorder="1" applyAlignment="1">
      <alignment horizontal="center" vertical="center"/>
    </xf>
    <xf numFmtId="165" fontId="71" fillId="0" borderId="14" xfId="12" applyNumberFormat="1" applyFont="1" applyFill="1" applyBorder="1" applyAlignment="1">
      <alignment horizontal="center" vertical="center"/>
    </xf>
    <xf numFmtId="3" fontId="71" fillId="0" borderId="135" xfId="12" applyNumberFormat="1" applyFont="1" applyBorder="1" applyAlignment="1">
      <alignment horizontal="center" vertical="center" wrapText="1"/>
    </xf>
    <xf numFmtId="165" fontId="71" fillId="0" borderId="135" xfId="12" applyNumberFormat="1" applyFont="1" applyBorder="1" applyAlignment="1">
      <alignment horizontal="center" vertical="center" wrapText="1"/>
    </xf>
    <xf numFmtId="165" fontId="71" fillId="0" borderId="0" xfId="12" applyNumberFormat="1" applyFont="1" applyAlignment="1">
      <alignment horizontal="center" vertical="center"/>
    </xf>
    <xf numFmtId="0" fontId="66" fillId="40" borderId="2" xfId="12" applyFont="1" applyFill="1" applyBorder="1" applyAlignment="1">
      <alignment horizontal="center" vertical="center"/>
    </xf>
    <xf numFmtId="179" fontId="71" fillId="40" borderId="14" xfId="12" applyNumberFormat="1" applyFont="1" applyFill="1" applyBorder="1" applyAlignment="1">
      <alignment horizontal="center" vertical="center" wrapText="1"/>
    </xf>
  </cellXfs>
  <cellStyles count="252">
    <cellStyle name="20 % - Accent1" xfId="13"/>
    <cellStyle name="20 % - Accent2" xfId="14"/>
    <cellStyle name="20 % - Accent3" xfId="15"/>
    <cellStyle name="20 % - Accent4" xfId="16"/>
    <cellStyle name="20 % - Accent5" xfId="17"/>
    <cellStyle name="20 % - Accent6" xfId="18"/>
    <cellStyle name="20% - Accent1 2" xfId="19"/>
    <cellStyle name="20% - Accent2 2" xfId="20"/>
    <cellStyle name="20% - Accent3 2" xfId="21"/>
    <cellStyle name="20% - Accent4 2" xfId="22"/>
    <cellStyle name="20% - Accent5 2" xfId="23"/>
    <cellStyle name="20% - Accent6 2" xfId="24"/>
    <cellStyle name="40 % - Accent1" xfId="25"/>
    <cellStyle name="40 % - Accent2" xfId="26"/>
    <cellStyle name="40 % - Accent3" xfId="27"/>
    <cellStyle name="40 % - Accent4" xfId="28"/>
    <cellStyle name="40 % - Accent5" xfId="29"/>
    <cellStyle name="40 % - Accent6" xfId="30"/>
    <cellStyle name="40% - Accent1 2" xfId="31"/>
    <cellStyle name="40% - Accent2 2" xfId="32"/>
    <cellStyle name="40% - Accent3 2" xfId="33"/>
    <cellStyle name="40% - Accent4 2" xfId="34"/>
    <cellStyle name="40% - Accent5 2" xfId="35"/>
    <cellStyle name="40% - Accent6 2" xfId="36"/>
    <cellStyle name="60 % - Accent1" xfId="37"/>
    <cellStyle name="60 % - Accent2" xfId="38"/>
    <cellStyle name="60 % - Accent3" xfId="39"/>
    <cellStyle name="60 % - Accent4" xfId="40"/>
    <cellStyle name="60 % - Accent5" xfId="41"/>
    <cellStyle name="60 % - Accent6" xfId="42"/>
    <cellStyle name="60% - Accent1 2" xfId="43"/>
    <cellStyle name="60% - Accent2 2" xfId="44"/>
    <cellStyle name="60% - Accent3 2" xfId="45"/>
    <cellStyle name="60% - Accent4 2" xfId="46"/>
    <cellStyle name="60% - Accent5 2" xfId="47"/>
    <cellStyle name="60% - Accent6 2" xfId="48"/>
    <cellStyle name="Accent1 2" xfId="49"/>
    <cellStyle name="Accent2 2" xfId="50"/>
    <cellStyle name="Accent3 2" xfId="51"/>
    <cellStyle name="Accent4 2" xfId="52"/>
    <cellStyle name="Accent5 2" xfId="53"/>
    <cellStyle name="Accent6 2" xfId="54"/>
    <cellStyle name="Avertissement" xfId="55"/>
    <cellStyle name="Bad 2" xfId="56"/>
    <cellStyle name="Calcul" xfId="57"/>
    <cellStyle name="Calcul 2" xfId="58"/>
    <cellStyle name="Calcul 3" xfId="59"/>
    <cellStyle name="Calculation 2" xfId="60"/>
    <cellStyle name="Calculation 2 2" xfId="61"/>
    <cellStyle name="Calculation 2 3" xfId="62"/>
    <cellStyle name="Calculation 3" xfId="63"/>
    <cellStyle name="Calculation 3 2" xfId="64"/>
    <cellStyle name="Calculation 4" xfId="65"/>
    <cellStyle name="Calculation 4 2" xfId="66"/>
    <cellStyle name="Calculation 5" xfId="67"/>
    <cellStyle name="Cellule liée" xfId="68"/>
    <cellStyle name="Check Cell 2" xfId="69"/>
    <cellStyle name="clsAltData" xfId="70"/>
    <cellStyle name="clsAltData 2" xfId="71"/>
    <cellStyle name="clsAltMRVData" xfId="72"/>
    <cellStyle name="clsAltMRVData 2" xfId="73"/>
    <cellStyle name="clsBlank" xfId="74"/>
    <cellStyle name="clsColumnHeader" xfId="75"/>
    <cellStyle name="clsColumnHeader 2" xfId="76"/>
    <cellStyle name="clsData" xfId="77"/>
    <cellStyle name="clsData 2" xfId="78"/>
    <cellStyle name="clsDefault" xfId="79"/>
    <cellStyle name="clsFooter" xfId="80"/>
    <cellStyle name="clsFooter 2" xfId="81"/>
    <cellStyle name="clsIndexTableData" xfId="82"/>
    <cellStyle name="clsIndexTableHdr" xfId="83"/>
    <cellStyle name="clsIndexTableTitle" xfId="84"/>
    <cellStyle name="clsIndexTableTitle 2" xfId="85"/>
    <cellStyle name="clsMRVData" xfId="86"/>
    <cellStyle name="clsMRVData 2" xfId="87"/>
    <cellStyle name="clsReportFooter" xfId="88"/>
    <cellStyle name="clsReportFooter 2" xfId="89"/>
    <cellStyle name="clsReportHeader" xfId="90"/>
    <cellStyle name="clsReportHeader 2" xfId="91"/>
    <cellStyle name="clsRowHeader" xfId="92"/>
    <cellStyle name="clsRowHeader 2" xfId="93"/>
    <cellStyle name="clsScale" xfId="94"/>
    <cellStyle name="clsSection" xfId="95"/>
    <cellStyle name="clsSection 2" xfId="96"/>
    <cellStyle name="Comma [0]" xfId="11" builtinId="6"/>
    <cellStyle name="Comma [0] 2" xfId="2"/>
    <cellStyle name="Comma [0] 3" xfId="97"/>
    <cellStyle name="Comma [0] 4" xfId="98"/>
    <cellStyle name="Comma [0] 5" xfId="99"/>
    <cellStyle name="Comma [0] 6" xfId="100"/>
    <cellStyle name="Comma [0] 7" xfId="246"/>
    <cellStyle name="Comma [0] 8" xfId="249"/>
    <cellStyle name="Comma 17" xfId="101"/>
    <cellStyle name="Comma 2" xfId="3"/>
    <cellStyle name="Comma 2 2" xfId="102"/>
    <cellStyle name="Comma 2 3" xfId="103"/>
    <cellStyle name="Comma 20" xfId="104"/>
    <cellStyle name="Comma 26" xfId="105"/>
    <cellStyle name="Comma 3" xfId="106"/>
    <cellStyle name="Comma 3 2" xfId="107"/>
    <cellStyle name="Comma 4" xfId="108"/>
    <cellStyle name="Comma 4 2" xfId="109"/>
    <cellStyle name="Comma 46" xfId="110"/>
    <cellStyle name="Comma 5" xfId="5"/>
    <cellStyle name="Comma 6" xfId="111"/>
    <cellStyle name="Comma 7" xfId="247"/>
    <cellStyle name="Comma 8" xfId="250"/>
    <cellStyle name="Comma 9" xfId="248"/>
    <cellStyle name="Commentaire" xfId="113"/>
    <cellStyle name="Commentaire 2" xfId="114"/>
    <cellStyle name="Commentaire 3" xfId="115"/>
    <cellStyle name="Currency" xfId="243" builtinId="4"/>
    <cellStyle name="Currency 2" xfId="10"/>
    <cellStyle name="Currency 3" xfId="116"/>
    <cellStyle name="Currency 4" xfId="244"/>
    <cellStyle name="Emphasis 1" xfId="117"/>
    <cellStyle name="Emphasis 2" xfId="118"/>
    <cellStyle name="Emphasis 3" xfId="119"/>
    <cellStyle name="Entrée" xfId="120"/>
    <cellStyle name="Entrée 2" xfId="121"/>
    <cellStyle name="Entrée 3" xfId="122"/>
    <cellStyle name="Euro" xfId="123"/>
    <cellStyle name="Euro 2" xfId="124"/>
    <cellStyle name="Euro 2 2" xfId="125"/>
    <cellStyle name="Euro 3" xfId="126"/>
    <cellStyle name="Explanatory Text 2" xfId="127"/>
    <cellStyle name="Good 2" xfId="128"/>
    <cellStyle name="Heading 1 2" xfId="129"/>
    <cellStyle name="Heading 2 2" xfId="130"/>
    <cellStyle name="Heading 3 2" xfId="131"/>
    <cellStyle name="Heading 4 2" xfId="132"/>
    <cellStyle name="Hyperlink" xfId="112" builtinId="8"/>
    <cellStyle name="Hyperlink 2" xfId="133"/>
    <cellStyle name="Hyperlink 3" xfId="134"/>
    <cellStyle name="Input 2" xfId="135"/>
    <cellStyle name="Input 2 2" xfId="136"/>
    <cellStyle name="Input 2 3" xfId="137"/>
    <cellStyle name="Input 3" xfId="138"/>
    <cellStyle name="Input 3 2" xfId="139"/>
    <cellStyle name="Input 4" xfId="140"/>
    <cellStyle name="Input 4 2" xfId="141"/>
    <cellStyle name="Input 5" xfId="142"/>
    <cellStyle name="Insatisfaisant" xfId="143"/>
    <cellStyle name="Lien hypertexte_prix écon" xfId="144"/>
    <cellStyle name="Linked Cell 2" xfId="145"/>
    <cellStyle name="Migliaia (0)_Cartel1" xfId="146"/>
    <cellStyle name="Migliaia_Budget composante 1-2 du 4_2_08" xfId="147"/>
    <cellStyle name="Millares 8" xfId="148"/>
    <cellStyle name="Milliers 2" xfId="245"/>
    <cellStyle name="Milliers 2 2" xfId="251"/>
    <cellStyle name="Neutral 2" xfId="149"/>
    <cellStyle name="Neutre" xfId="150"/>
    <cellStyle name="Normal" xfId="0" builtinId="0"/>
    <cellStyle name="Normal 10" xfId="151"/>
    <cellStyle name="Normal 11" xfId="12"/>
    <cellStyle name="Normal 11 2" xfId="152"/>
    <cellStyle name="Normal 11 3" xfId="153"/>
    <cellStyle name="Normal 12" xfId="154"/>
    <cellStyle name="Normal 12 2" xfId="155"/>
    <cellStyle name="Normal 2" xfId="1"/>
    <cellStyle name="Normal 2 2" xfId="156"/>
    <cellStyle name="Normal 2 2 2" xfId="157"/>
    <cellStyle name="Normal 2 2 3" xfId="158"/>
    <cellStyle name="Normal 2 2 4" xfId="159"/>
    <cellStyle name="Normal 2 2 5" xfId="160"/>
    <cellStyle name="Normal 2 3" xfId="161"/>
    <cellStyle name="Normal 2 3 2" xfId="162"/>
    <cellStyle name="Normal 2 4" xfId="163"/>
    <cellStyle name="Normal 2 5" xfId="164"/>
    <cellStyle name="Normal 2 6" xfId="165"/>
    <cellStyle name="Normal 2 7" xfId="166"/>
    <cellStyle name="Normal 2 8" xfId="167"/>
    <cellStyle name="Normal 2 8 2" xfId="168"/>
    <cellStyle name="Normal 2 9" xfId="169"/>
    <cellStyle name="Normal 2_HILIP Financial analysis jan 2011" xfId="170"/>
    <cellStyle name="Normal 3" xfId="6"/>
    <cellStyle name="Normal 3 2" xfId="171"/>
    <cellStyle name="Normal 3 2 2" xfId="172"/>
    <cellStyle name="Normal 3 3" xfId="173"/>
    <cellStyle name="Normal 3 3 2" xfId="174"/>
    <cellStyle name="Normal 3 4" xfId="175"/>
    <cellStyle name="Normal 3_Appendice 1 et 2 DT 9 Analyse économique 30_8_2010" xfId="176"/>
    <cellStyle name="Normal 4" xfId="177"/>
    <cellStyle name="Normal 4 2" xfId="178"/>
    <cellStyle name="Normal 4 2 2" xfId="179"/>
    <cellStyle name="Normal 4 3" xfId="180"/>
    <cellStyle name="Normal 4 4" xfId="181"/>
    <cellStyle name="Normal 5" xfId="182"/>
    <cellStyle name="Normal 5 2" xfId="183"/>
    <cellStyle name="Normal 5 3" xfId="184"/>
    <cellStyle name="Normal 6" xfId="7"/>
    <cellStyle name="Normal 6 2" xfId="185"/>
    <cellStyle name="Normal 6 2 2" xfId="186"/>
    <cellStyle name="Normal 7" xfId="187"/>
    <cellStyle name="Normal 8" xfId="8"/>
    <cellStyle name="Normal 9" xfId="9"/>
    <cellStyle name="Normale_ACDP-2-GGP Models-fin" xfId="188"/>
    <cellStyle name="Note 2" xfId="189"/>
    <cellStyle name="Note 2 2" xfId="190"/>
    <cellStyle name="Note 2 3" xfId="191"/>
    <cellStyle name="Note 3" xfId="192"/>
    <cellStyle name="Output 2" xfId="193"/>
    <cellStyle name="Output 2 2" xfId="194"/>
    <cellStyle name="Output 2 3" xfId="195"/>
    <cellStyle name="Output 3" xfId="196"/>
    <cellStyle name="Output 3 2" xfId="197"/>
    <cellStyle name="Output 4" xfId="198"/>
    <cellStyle name="Output 4 2" xfId="199"/>
    <cellStyle name="Output 5" xfId="200"/>
    <cellStyle name="Percent 2" xfId="4"/>
    <cellStyle name="Percent 2 2" xfId="201"/>
    <cellStyle name="Percent 2 2 2" xfId="202"/>
    <cellStyle name="Percent 2 3" xfId="203"/>
    <cellStyle name="Percent 3" xfId="204"/>
    <cellStyle name="Percent 3 2" xfId="205"/>
    <cellStyle name="Percent 4" xfId="206"/>
    <cellStyle name="Percent 4 2" xfId="207"/>
    <cellStyle name="Percent 4 3" xfId="208"/>
    <cellStyle name="Percent 5" xfId="209"/>
    <cellStyle name="Percent 6" xfId="210"/>
    <cellStyle name="Percent 9" xfId="211"/>
    <cellStyle name="Percent 9 2" xfId="212"/>
    <cellStyle name="Satisfaisant" xfId="213"/>
    <cellStyle name="Sheet Title" xfId="214"/>
    <cellStyle name="Sortie" xfId="215"/>
    <cellStyle name="Sortie 2" xfId="216"/>
    <cellStyle name="Sortie 3" xfId="217"/>
    <cellStyle name="Standaard 2" xfId="218"/>
    <cellStyle name="Standaard_PRICE_F" xfId="219"/>
    <cellStyle name="Standard_HGFOREST" xfId="220"/>
    <cellStyle name="Texte explicatif" xfId="221"/>
    <cellStyle name="Title 2" xfId="222"/>
    <cellStyle name="Titre" xfId="223"/>
    <cellStyle name="Titre 1" xfId="224"/>
    <cellStyle name="Titre 2" xfId="225"/>
    <cellStyle name="Titre 1" xfId="226"/>
    <cellStyle name="Titre 2" xfId="227"/>
    <cellStyle name="Titre 3" xfId="228"/>
    <cellStyle name="Titre 4" xfId="229"/>
    <cellStyle name="Titre_Anx 9 AP4 TRI et Analyse économique" xfId="230"/>
    <cellStyle name="Total 2" xfId="231"/>
    <cellStyle name="Total 2 2" xfId="232"/>
    <cellStyle name="Total 2 3" xfId="233"/>
    <cellStyle name="Total 3" xfId="234"/>
    <cellStyle name="Total 3 2" xfId="235"/>
    <cellStyle name="Total 4" xfId="236"/>
    <cellStyle name="Total 4 2" xfId="237"/>
    <cellStyle name="Total 5" xfId="238"/>
    <cellStyle name="Valuta (0)_Cartel1" xfId="239"/>
    <cellStyle name="Valuta_ACDP-2-GGP Models-fin" xfId="240"/>
    <cellStyle name="Vérification" xfId="241"/>
    <cellStyle name="Warning Text 2" xfId="2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23</xdr:col>
      <xdr:colOff>0</xdr:colOff>
      <xdr:row>54</xdr:row>
      <xdr:rowOff>148318</xdr:rowOff>
    </xdr:from>
    <xdr:to>
      <xdr:col>28</xdr:col>
      <xdr:colOff>531153</xdr:colOff>
      <xdr:row>62</xdr:row>
      <xdr:rowOff>218840</xdr:rowOff>
    </xdr:to>
    <xdr:pic>
      <xdr:nvPicPr>
        <xdr:cNvPr id="2" name="Picture 1">
          <a:extLst>
            <a:ext uri="{FF2B5EF4-FFF2-40B4-BE49-F238E27FC236}">
              <a16:creationId xmlns="" xmlns:a16="http://schemas.microsoft.com/office/drawing/2014/main" id="{04740E06-DA84-9647-F4F2-857A5DA45257}"/>
            </a:ext>
          </a:extLst>
        </xdr:cNvPr>
        <xdr:cNvPicPr>
          <a:picLocks noChangeAspect="1"/>
        </xdr:cNvPicPr>
      </xdr:nvPicPr>
      <xdr:blipFill>
        <a:blip xmlns:r="http://schemas.openxmlformats.org/officeDocument/2006/relationships" r:embed="rId1"/>
        <a:stretch>
          <a:fillRect/>
        </a:stretch>
      </xdr:blipFill>
      <xdr:spPr>
        <a:xfrm>
          <a:off x="13582650" y="10435318"/>
          <a:ext cx="3483903" cy="1565947"/>
        </a:xfrm>
        <a:prstGeom prst="rect">
          <a:avLst/>
        </a:prstGeom>
      </xdr:spPr>
    </xdr:pic>
    <xdr:clientData/>
  </xdr:twoCellAnchor>
  <xdr:twoCellAnchor>
    <xdr:from>
      <xdr:col>21</xdr:col>
      <xdr:colOff>258989</xdr:colOff>
      <xdr:row>58</xdr:row>
      <xdr:rowOff>97966</xdr:rowOff>
    </xdr:from>
    <xdr:to>
      <xdr:col>23</xdr:col>
      <xdr:colOff>0</xdr:colOff>
      <xdr:row>61</xdr:row>
      <xdr:rowOff>263520</xdr:rowOff>
    </xdr:to>
    <xdr:sp macro="" textlink="">
      <xdr:nvSpPr>
        <xdr:cNvPr id="3" name="Arrow: Right 2">
          <a:extLst>
            <a:ext uri="{FF2B5EF4-FFF2-40B4-BE49-F238E27FC236}">
              <a16:creationId xmlns="" xmlns:a16="http://schemas.microsoft.com/office/drawing/2014/main" id="{C04A42C4-9DF4-A8EE-FBCC-408C405A88BC}"/>
            </a:ext>
          </a:extLst>
        </xdr:cNvPr>
        <xdr:cNvSpPr/>
      </xdr:nvSpPr>
      <xdr:spPr>
        <a:xfrm>
          <a:off x="12660539" y="11146966"/>
          <a:ext cx="922111" cy="660854"/>
        </a:xfrm>
        <a:prstGeom prst="right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climate-my.sharepoint.com/Users/USER/Downloads/Copy%20of%20Annex%203_Burundi%20SAP_Detailed%20Budget_Oct%2020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b761b\Desktop\C:\Documents%20and%20Settings\jumabayeva\My%20Documents\Georgia\2009\IFAD\Appraisal\WP4-Annexes%201-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mb761b\Desktop\C:\Documents%20and%20Settings\Sabrie\My%20Documents\Financial%20Analyst\CONGO\World%20Bank\Models\Anx%208-%20AP2bis%20Budgets%20cultures%20-%20&#233;conomique%20-30%20mars%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b761b\Desktop\C:\Documents%20and%20Settings\Traniello\Local%20Settings\Temp\PRODER%203%20Appui%20Initiatives%20Base%20(Sylvie+Marc)-%2013%20Nov.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Users\Davis%20Atugonza\Downloads\Users\BACKHOUSE\Downloads\Users\Davis%20Atugonza\Downloads\NOPP_Financial%20Analysis_Updated%203%20August2017%20FINAL%20EXAMPLES%20FROM%20NOPP.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ll%202023%20Contracts/Eritrea%20FVCDP%20Mission%202023/03%20All%20May%202023%20Files/22%20May%202023%20EFA/FVCP%20Economic%20&amp;%20Financial%20Analysis%20Worksheet%20Sh%2022.02.202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ll%202023%20Contracts/Sierra%20Leone%20RFCIP%202023/05%20All%20May%202023%20Files%20Final%20Submissions%20sent%20to%20Claudia/16%20May%202023%20EFA%20Deliverables/RFCIP%20Scaling%20Up%20EFA%20working%2016%20April%202023%20DA%20v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b761b\Desktop\C:\Users\amado\Desktop\EFA\Vietnam%20IFAD\Other%20projects%20Vietnam\SRDP\SRDP-WP2-Appendices%201-4-%20Fin%20Model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ll%202023%20Contracts\Eritrea%20FVCDP%20Mission%202023\03%20All%20May%202023%20Files\22%20May%202023%20EFA\FVCP%20Economic%20&amp;%20Financial%20Analysis%20Worksheet%20Sh%2022.02.20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ll%202023%20Contracts\Sierra%20Leone%20RFCIP%202023\05%20All%20May%202023%20Files%20Final%20Submissions%20sent%20to%20Claudia\16%20May%202023%20EFA%20Deliverables\RFCIP%20Scaling%20Up%20EFA%20working%2016%20April%202023%20DA%20vf.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b761b\Desktop\C:\Users\muenzel\Documents\Asia\Vietnam\vnSAT\EFA\NIR\xlsx19-07-TS%20Mode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mawirac\Desktop\Loan%20amortization%20schedule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Branca.FAODOMAIN\AppData\Local\Microsoft\Windows\Temporary%20Internet%20Files\Content.Outlook\XD89ZI30\Jens%20Doc\Moldova\Fourth%20trip%20Oct%20Nov%202006\Appraisal%20Report%20RFSEDP\App7-Project%20Analysis\Enterpris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b761b\Desktop\C:\Users\muenzel\Documents\Asia\Vietnam\vnSAT\EFA\Rice\competitiveness\m-VN%20Assumptions%20-%2029%20Nov.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b761b\Desktop\C:\Nouveau%20Dossier\MALI04\FICHES%20mal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Dashboard"/>
      <sheetName val="Detailed Budget Plan"/>
      <sheetName val="Detailed Budget Notes "/>
      <sheetName val="Sheet1"/>
      <sheetName val="Title Lists"/>
    </sheetNames>
    <sheetDataSet>
      <sheetData sheetId="0"/>
      <sheetData sheetId="1"/>
      <sheetData sheetId="2"/>
      <sheetData sheetId="3"/>
      <sheetData sheetId="4"/>
      <sheetData sheetId="5"/>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nnex 1 Fin and Economic Prices"/>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1b.nominal prices"/>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5-12 formationCU"/>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T 1"/>
      <sheetName val="T 2-3"/>
      <sheetName val="T 4-8"/>
      <sheetName val="T 9-10"/>
      <sheetName val="Maintainace costs per "/>
      <sheetName val="T 13"/>
      <sheetName val="T 11-12"/>
      <sheetName val="T 14-15"/>
      <sheetName val="T 16-20"/>
      <sheetName val="T 21-22"/>
      <sheetName val="T 23"/>
      <sheetName val="T 24"/>
      <sheetName val="T 25 "/>
      <sheetName val="T 26"/>
      <sheetName val="T27"/>
      <sheetName val="T27-EF"/>
      <sheetName val="COMYRB F"/>
      <sheetName val="T28"/>
      <sheetName val="T29"/>
      <sheetName val="T30"/>
      <sheetName val="T 31"/>
      <sheetName val="T 32"/>
      <sheetName val="Example"/>
      <sheetName val="T33"/>
      <sheetName val="T34"/>
      <sheetName val="Economic costs"/>
      <sheetName val="T35"/>
      <sheetName val="SA"/>
      <sheetName val="Financial costs"/>
      <sheetName val="Import substitution benenfits"/>
      <sheetName val="Estimation of CPO prodn"/>
      <sheetName val="summary"/>
    </sheetNames>
    <sheetDataSet>
      <sheetData sheetId="0">
        <row r="68">
          <cell r="E68">
            <v>3550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PP1 Financial  Prices"/>
      <sheetName val="Annex 1 maize price"/>
      <sheetName val="Annex 1  Urea Price"/>
      <sheetName val="Annex 1  DAP Price"/>
      <sheetName val="Annex 1  Export parity price"/>
      <sheetName val="APP1 Crops production and areas"/>
      <sheetName val="APP1 Yields t-ha"/>
      <sheetName val="APP 1 Crop budgets in ha"/>
      <sheetName val="APP 1 Crop Budgets Summary"/>
      <sheetName val="App 2 _Groundnut Model"/>
      <sheetName val="App 2_Improved seed Maize Crop"/>
      <sheetName val="App 2_Cassava Crop"/>
      <sheetName val="App 2_Sweet Potato Crop"/>
      <sheetName val="APP 2 Farm model"/>
      <sheetName val="App 2_Cows Model"/>
      <sheetName val="App 2_Goat Model"/>
      <sheetName val="App 2_Pig model"/>
      <sheetName val="App 2_Pineapple Crop"/>
      <sheetName val="IGA budget"/>
      <sheetName val="Annex 3-Table 3.1-Machinery"/>
      <sheetName val="Annex 3-Table 3.2 Apple grower"/>
      <sheetName val="Crop Budgets Summary-Fin"/>
      <sheetName val="Annex 4-Drinking Water Supply"/>
      <sheetName val="Annex 4-Table 4.3-Road Rehab"/>
      <sheetName val="Summary"/>
      <sheetName val="Summary ($)"/>
      <sheetName val="SummaryFinancial Results ($)"/>
      <sheetName val="Sheet17"/>
      <sheetName val="APP 2 Trade_sewing"/>
      <sheetName val="APP2 Second hand clothes"/>
      <sheetName val="IFAD Minimum requirement"/>
      <sheetName val="Summary Aggregation"/>
      <sheetName val="Detailed aggregation"/>
      <sheetName val="Beneficiary phasing"/>
      <sheetName val="APP 2 Summary ERN"/>
      <sheetName val="Ecomomic Costs"/>
      <sheetName val="Fish Value addition Enterprise"/>
      <sheetName val="Small Pelagics Fishing Enterpri"/>
      <sheetName val="Smallpelagics assumption"/>
      <sheetName val="Umbrella Marketing Cooperative"/>
      <sheetName val="Ice plant"/>
      <sheetName val="APP 2 Summary ($US)"/>
      <sheetName val="APP 2 Fin results in ERN USD"/>
      <sheetName val="Dried Fish trading"/>
      <sheetName val="Cottage"/>
      <sheetName val="Prices and conversion factors"/>
    </sheetNames>
    <sheetDataSet>
      <sheetData sheetId="0">
        <row r="8">
          <cell r="C8">
            <v>0.82</v>
          </cell>
        </row>
        <row r="13">
          <cell r="D13">
            <v>1000</v>
          </cell>
        </row>
        <row r="14">
          <cell r="D14">
            <v>500</v>
          </cell>
        </row>
        <row r="16">
          <cell r="D16">
            <v>300000</v>
          </cell>
        </row>
        <row r="17">
          <cell r="D17">
            <v>10000</v>
          </cell>
        </row>
      </sheetData>
      <sheetData sheetId="1" refreshError="1"/>
      <sheetData sheetId="2" refreshError="1"/>
      <sheetData sheetId="3" refreshError="1"/>
      <sheetData sheetId="4" refreshError="1"/>
      <sheetData sheetId="5" refreshError="1"/>
      <sheetData sheetId="6" refreshError="1"/>
      <sheetData sheetId="7" refreshError="1"/>
      <sheetData sheetId="8">
        <row r="7">
          <cell r="E7">
            <v>2500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52">
          <cell r="F52">
            <v>5</v>
          </cell>
        </row>
      </sheetData>
      <sheetData sheetId="33"/>
      <sheetData sheetId="34" refreshError="1"/>
      <sheetData sheetId="35" refreshError="1"/>
      <sheetData sheetId="36"/>
      <sheetData sheetId="37"/>
      <sheetData sheetId="38" refreshError="1"/>
      <sheetData sheetId="39" refreshError="1"/>
      <sheetData sheetId="40" refreshError="1"/>
      <sheetData sheetId="41" refreshError="1"/>
      <sheetData sheetId="42" refreshError="1"/>
      <sheetData sheetId="43"/>
      <sheetData sheetId="44"/>
      <sheetData sheetId="45">
        <row r="14">
          <cell r="H14">
            <v>60</v>
          </cell>
        </row>
      </sheetData>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ummary"/>
      <sheetName val="Aggregate"/>
      <sheetName val="Margin analysis"/>
      <sheetName val="COCOA-Input data"/>
      <sheetName val="Paddy rice amort"/>
      <sheetName val="Overall summary"/>
      <sheetName val="Economic Benefits Aggreation"/>
      <sheetName val="Agricultural Benefits"/>
      <sheetName val="Sensitivity Analysis Wrkgs"/>
      <sheetName val="Summary of Ben Aggregation"/>
      <sheetName val="FAs Scaling-up Bfts Computation"/>
      <sheetName val="Apex"/>
      <sheetName val="CBs Scaling-up computations"/>
      <sheetName val="Econ Costs Scaling up1"/>
      <sheetName val="Econ Costs 1"/>
      <sheetName val="Proposed LG"/>
      <sheetName val="Economic costs"/>
      <sheetName val="Post MTR ECONOMIC COSTS"/>
      <sheetName val="COCOA-Establishment costs"/>
      <sheetName val="Cocoa Farm Model Fin"/>
      <sheetName val="Cocoa Farm Model Econ"/>
      <sheetName val="COCOA Amortiz"/>
      <sheetName val="Nerica Rice Fin"/>
      <sheetName val="Nerica Rice Econ"/>
      <sheetName val="Paddy Rice Fin"/>
      <sheetName val="Paddy Rice Econ"/>
      <sheetName val="PADDY RICE MODEL AT DESN"/>
      <sheetName val="Price of rice"/>
      <sheetName val="Rice crop budget"/>
      <sheetName val="Green house-Margin"/>
      <sheetName val="Green houses Assumptions"/>
      <sheetName val="Eco analysis of road construct"/>
      <sheetName val="Summary on rice"/>
      <sheetName val="Water catchment"/>
      <sheetName val="Catchment Margin"/>
      <sheetName val="Sheet1"/>
      <sheetName val="Sheet5"/>
      <sheetName val="Updated economic costs"/>
      <sheetName val="Apex bank business plan"/>
      <sheetName val="Apex bank projec"/>
      <sheetName val="Community bank"/>
      <sheetName val="Sandor"/>
      <sheetName val="FSA"/>
      <sheetName val="Performance Indicators"/>
      <sheetName val="CBs model"/>
      <sheetName val="FSAs model"/>
      <sheetName val="Apex bank"/>
      <sheetName val="Apex bank worksheet"/>
      <sheetName val="FAs Financial Statements"/>
      <sheetName val="Kabala CB"/>
      <sheetName val="Kamakwie"/>
      <sheetName val="Koindu"/>
      <sheetName val="Mattru"/>
      <sheetName val="Ninikoro"/>
      <sheetName val="Nimiyama"/>
      <sheetName val="Pendembu"/>
      <sheetName val="Segbwema"/>
      <sheetName val="Simbaru"/>
      <sheetName val="Sumbuya"/>
      <sheetName val="Taiama"/>
      <sheetName val="Tongofield"/>
      <sheetName val="Yoni"/>
      <sheetName val="Zimmi"/>
      <sheetName val="Madina"/>
      <sheetName val="Marampa Masimera"/>
    </sheetNames>
    <sheetDataSet>
      <sheetData sheetId="0" refreshError="1"/>
      <sheetData sheetId="1" refreshError="1"/>
      <sheetData sheetId="2" refreshError="1"/>
      <sheetData sheetId="3" refreshError="1"/>
      <sheetData sheetId="4" refreshError="1"/>
      <sheetData sheetId="5" refreshError="1"/>
      <sheetData sheetId="6">
        <row r="38">
          <cell r="C38">
            <v>0</v>
          </cell>
        </row>
        <row r="39">
          <cell r="C3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WP-2-Ap 1-Prices"/>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PP1 Financial  Prices"/>
      <sheetName val="Annex 1 maize price"/>
      <sheetName val="Annex 1  Urea Price"/>
      <sheetName val="Annex 1  DAP Price"/>
      <sheetName val="Annex 1  Export parity price"/>
      <sheetName val="APP1 Crops production and areas"/>
      <sheetName val="APP1 Yields t-ha"/>
      <sheetName val="APP 1 Crop budgets in ha"/>
      <sheetName val="APP 1 Crop Budgets Summary"/>
      <sheetName val="App 2 _Groundnut Model"/>
      <sheetName val="App 2_Improved seed Maize Crop"/>
      <sheetName val="App 2_Cassava Crop"/>
      <sheetName val="App 2_Sweet Potato Crop"/>
      <sheetName val="APP 2 Farm model"/>
      <sheetName val="App 2_Cows Model"/>
      <sheetName val="App 2_Goat Model"/>
      <sheetName val="App 2_Pig model"/>
      <sheetName val="App 2_Pineapple Crop"/>
      <sheetName val="IGA budget"/>
      <sheetName val="Annex 3-Table 3.1-Machinery"/>
      <sheetName val="Annex 3-Table 3.2 Apple grower"/>
      <sheetName val="Crop Budgets Summary-Fin"/>
      <sheetName val="Annex 4-Drinking Water Supply"/>
      <sheetName val="Annex 4-Table 4.3-Road Rehab"/>
      <sheetName val="Summary"/>
      <sheetName val="Summary ($)"/>
      <sheetName val="SummaryFinancial Results ($)"/>
      <sheetName val="Sheet17"/>
      <sheetName val="APP 2 Trade_sewing"/>
      <sheetName val="APP2 Second hand clothes"/>
      <sheetName val="IFAD Minimum requirement"/>
      <sheetName val="Summary Aggregation"/>
      <sheetName val="Detailed aggregation"/>
      <sheetName val="Beneficiary phasing"/>
      <sheetName val="APP 2 Summary ERN"/>
      <sheetName val="Ecomomic Costs"/>
      <sheetName val="Fish Value addition Enterprise"/>
      <sheetName val="Small Pelagics Fishing Enterpri"/>
      <sheetName val="Smallpelagics assumption"/>
      <sheetName val="Umbrella Marketing Cooperative"/>
      <sheetName val="Ice plant"/>
      <sheetName val="APP 2 Summary ($US)"/>
      <sheetName val="APP 2 Fin results in ERN USD"/>
      <sheetName val="Dried Fish trading"/>
      <sheetName val="Cottage"/>
      <sheetName val="Prices and conversion factors"/>
    </sheetNames>
    <sheetDataSet>
      <sheetData sheetId="0">
        <row r="8">
          <cell r="C8">
            <v>0.82</v>
          </cell>
        </row>
        <row r="13">
          <cell r="D13">
            <v>1000</v>
          </cell>
        </row>
        <row r="14">
          <cell r="D14">
            <v>500</v>
          </cell>
        </row>
        <row r="16">
          <cell r="D16">
            <v>300000</v>
          </cell>
        </row>
        <row r="17">
          <cell r="D17">
            <v>10000</v>
          </cell>
        </row>
      </sheetData>
      <sheetData sheetId="1" refreshError="1"/>
      <sheetData sheetId="2" refreshError="1"/>
      <sheetData sheetId="3" refreshError="1"/>
      <sheetData sheetId="4" refreshError="1"/>
      <sheetData sheetId="5" refreshError="1"/>
      <sheetData sheetId="6" refreshError="1"/>
      <sheetData sheetId="7" refreshError="1"/>
      <sheetData sheetId="8">
        <row r="7">
          <cell r="E7">
            <v>2500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52">
          <cell r="F52">
            <v>5</v>
          </cell>
        </row>
      </sheetData>
      <sheetData sheetId="33"/>
      <sheetData sheetId="34" refreshError="1"/>
      <sheetData sheetId="35" refreshError="1"/>
      <sheetData sheetId="36"/>
      <sheetData sheetId="37"/>
      <sheetData sheetId="38" refreshError="1"/>
      <sheetData sheetId="39" refreshError="1"/>
      <sheetData sheetId="40" refreshError="1"/>
      <sheetData sheetId="41" refreshError="1"/>
      <sheetData sheetId="42" refreshError="1"/>
      <sheetData sheetId="43"/>
      <sheetData sheetId="44"/>
      <sheetData sheetId="45">
        <row r="14">
          <cell r="H14">
            <v>60</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ummary"/>
      <sheetName val="Aggregate"/>
      <sheetName val="Margin analysis"/>
      <sheetName val="COCOA-Input data"/>
      <sheetName val="Paddy rice amort"/>
      <sheetName val="Overall summary"/>
      <sheetName val="Economic Benefits Aggreation"/>
      <sheetName val="Agricultural Benefits"/>
      <sheetName val="Sensitivity Analysis Wrkgs"/>
      <sheetName val="Summary of Ben Aggregation"/>
      <sheetName val="FAs Scaling-up Bfts Computation"/>
      <sheetName val="Apex"/>
      <sheetName val="CBs Scaling-up computations"/>
      <sheetName val="Econ Costs Scaling up1"/>
      <sheetName val="Econ Costs 1"/>
      <sheetName val="Proposed LG"/>
      <sheetName val="Economic costs"/>
      <sheetName val="Post MTR ECONOMIC COSTS"/>
      <sheetName val="COCOA-Establishment costs"/>
      <sheetName val="Cocoa Farm Model Fin"/>
      <sheetName val="Cocoa Farm Model Econ"/>
      <sheetName val="COCOA Amortiz"/>
      <sheetName val="Nerica Rice Fin"/>
      <sheetName val="Nerica Rice Econ"/>
      <sheetName val="Paddy Rice Fin"/>
      <sheetName val="Paddy Rice Econ"/>
      <sheetName val="PADDY RICE MODEL AT DESN"/>
      <sheetName val="Price of rice"/>
      <sheetName val="Rice crop budget"/>
      <sheetName val="Green house-Margin"/>
      <sheetName val="Green houses Assumptions"/>
      <sheetName val="Eco analysis of road construct"/>
      <sheetName val="Summary on rice"/>
      <sheetName val="Water catchment"/>
      <sheetName val="Catchment Margin"/>
      <sheetName val="Sheet1"/>
      <sheetName val="Sheet5"/>
      <sheetName val="Updated economic costs"/>
      <sheetName val="Apex bank business plan"/>
      <sheetName val="Apex bank projec"/>
      <sheetName val="Community bank"/>
      <sheetName val="Sandor"/>
      <sheetName val="FSA"/>
      <sheetName val="Performance Indicators"/>
      <sheetName val="CBs model"/>
      <sheetName val="FSAs model"/>
      <sheetName val="Apex bank"/>
      <sheetName val="Apex bank worksheet"/>
      <sheetName val="FAs Financial Statements"/>
      <sheetName val="Kabala CB"/>
      <sheetName val="Kamakwie"/>
      <sheetName val="Koindu"/>
      <sheetName val="Mattru"/>
      <sheetName val="Ninikoro"/>
      <sheetName val="Nimiyama"/>
      <sheetName val="Pendembu"/>
      <sheetName val="Segbwema"/>
      <sheetName val="Simbaru"/>
      <sheetName val="Sumbuya"/>
      <sheetName val="Taiama"/>
      <sheetName val="Tongofield"/>
      <sheetName val="Yoni"/>
      <sheetName val="Zimmi"/>
      <sheetName val="Madina"/>
      <sheetName val="Marampa Masimera"/>
    </sheetNames>
    <sheetDataSet>
      <sheetData sheetId="0" refreshError="1"/>
      <sheetData sheetId="1" refreshError="1"/>
      <sheetData sheetId="2" refreshError="1"/>
      <sheetData sheetId="3" refreshError="1"/>
      <sheetData sheetId="4" refreshError="1"/>
      <sheetData sheetId="5" refreshError="1"/>
      <sheetData sheetId="6">
        <row r="38">
          <cell r="C38">
            <v>0</v>
          </cell>
        </row>
        <row r="39">
          <cell r="C3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1 excDT"/>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Loan Amortization Schedule"/>
    </sheetNames>
    <sheetDataSet>
      <sheetData sheetId="0" refreshError="1">
        <row r="5">
          <cell r="D5">
            <v>858876</v>
          </cell>
        </row>
        <row r="6">
          <cell r="D6">
            <v>0.155</v>
          </cell>
        </row>
        <row r="7">
          <cell r="D7">
            <v>5</v>
          </cell>
        </row>
        <row r="9">
          <cell r="D9">
            <v>39814</v>
          </cell>
        </row>
        <row r="17">
          <cell r="A17">
            <v>0</v>
          </cell>
          <cell r="B17">
            <v>0</v>
          </cell>
          <cell r="C17">
            <v>0</v>
          </cell>
          <cell r="D17">
            <v>0</v>
          </cell>
          <cell r="E17">
            <v>0</v>
          </cell>
          <cell r="F17">
            <v>0</v>
          </cell>
          <cell r="G17">
            <v>0</v>
          </cell>
          <cell r="H17">
            <v>0</v>
          </cell>
          <cell r="I17">
            <v>0</v>
          </cell>
          <cell r="J17">
            <v>0</v>
          </cell>
        </row>
        <row r="18">
          <cell r="I18">
            <v>732745.92607087619</v>
          </cell>
        </row>
        <row r="19">
          <cell r="I19">
            <v>587065.6906827382</v>
          </cell>
        </row>
        <row r="20">
          <cell r="I20">
            <v>418805.01880943886</v>
          </cell>
        </row>
        <row r="21">
          <cell r="I21">
            <v>224463.9427957781</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mmon Data"/>
      <sheetName val="Fruit Drying"/>
      <sheetName val="Milk Collection"/>
      <sheetName val="Carpentry"/>
      <sheetName val="Oil Mill - Improvement"/>
      <sheetName val="Oil Mill - New"/>
      <sheetName val="Apiculture"/>
      <sheetName val="Meat Processing"/>
      <sheetName val="Walnut Drying"/>
      <sheetName val="Unit Streams"/>
      <sheetName val="Analysis"/>
      <sheetName val="Sensitivity Analysis"/>
    </sheetNames>
    <sheetDataSet>
      <sheetData sheetId="0"/>
      <sheetData sheetId="1">
        <row r="80">
          <cell r="C80">
            <v>0.13879871978984709</v>
          </cell>
        </row>
      </sheetData>
      <sheetData sheetId="2"/>
      <sheetData sheetId="3"/>
      <sheetData sheetId="4"/>
      <sheetData sheetId="5">
        <row r="82">
          <cell r="C82">
            <v>0.10504590517817372</v>
          </cell>
        </row>
      </sheetData>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xR and other Drivers"/>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bas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00B050"/>
  </sheetPr>
  <dimension ref="A1:K124"/>
  <sheetViews>
    <sheetView topLeftCell="A110" zoomScale="75" zoomScaleNormal="75" workbookViewId="0">
      <selection activeCell="B124" sqref="B124"/>
    </sheetView>
  </sheetViews>
  <sheetFormatPr defaultColWidth="26" defaultRowHeight="12.75"/>
  <cols>
    <col min="1" max="1" width="78.42578125" style="201" customWidth="1"/>
    <col min="2" max="2" width="30.7109375" style="200" customWidth="1"/>
    <col min="3" max="3" width="34" style="198" customWidth="1"/>
    <col min="4" max="6" width="30.7109375" style="198" customWidth="1"/>
    <col min="7" max="7" width="44.28515625" style="199" customWidth="1"/>
    <col min="8" max="8" width="30.7109375" style="198" customWidth="1"/>
    <col min="9" max="9" width="82.42578125" style="198" customWidth="1"/>
    <col min="10" max="10" width="60.42578125" style="198" customWidth="1"/>
    <col min="11" max="16384" width="26" style="198"/>
  </cols>
  <sheetData>
    <row r="1" spans="1:11" s="200" customFormat="1" ht="30.75" customHeight="1" thickBot="1">
      <c r="A1" s="301" t="s">
        <v>165</v>
      </c>
      <c r="B1" s="301" t="s">
        <v>148</v>
      </c>
      <c r="C1" s="301" t="s">
        <v>147</v>
      </c>
      <c r="D1" s="299" t="s">
        <v>110</v>
      </c>
      <c r="E1" s="301" t="s">
        <v>146</v>
      </c>
      <c r="F1" s="299" t="s">
        <v>164</v>
      </c>
      <c r="G1" s="299" t="s">
        <v>163</v>
      </c>
      <c r="H1" s="299" t="s">
        <v>143</v>
      </c>
      <c r="I1" s="243"/>
      <c r="K1" s="309"/>
    </row>
    <row r="2" spans="1:11" ht="28.9" customHeight="1" thickBot="1">
      <c r="A2" s="302" t="s">
        <v>162</v>
      </c>
      <c r="B2" s="308" t="s">
        <v>161</v>
      </c>
      <c r="C2" s="303">
        <v>0</v>
      </c>
      <c r="D2" s="307">
        <v>0</v>
      </c>
      <c r="E2" s="307">
        <v>0.2</v>
      </c>
      <c r="F2" s="303">
        <v>5.0000000000000001E-3</v>
      </c>
      <c r="G2" s="300" t="s">
        <v>144</v>
      </c>
      <c r="H2" s="302" t="s">
        <v>150</v>
      </c>
      <c r="I2" s="203"/>
      <c r="K2" s="203"/>
    </row>
    <row r="3" spans="1:11" ht="28.9" customHeight="1" thickBot="1">
      <c r="A3" s="305" t="s">
        <v>160</v>
      </c>
      <c r="B3" s="304" t="s">
        <v>159</v>
      </c>
      <c r="C3" s="303">
        <v>0</v>
      </c>
      <c r="D3" s="295">
        <v>0</v>
      </c>
      <c r="E3" s="295">
        <v>0.2</v>
      </c>
      <c r="F3" s="303">
        <v>5.0000000000000001E-3</v>
      </c>
      <c r="G3" s="300" t="s">
        <v>144</v>
      </c>
      <c r="H3" s="302" t="s">
        <v>150</v>
      </c>
      <c r="I3" s="203"/>
      <c r="K3" s="203"/>
    </row>
    <row r="4" spans="1:11" ht="28.9" customHeight="1" thickBot="1">
      <c r="A4" s="305" t="s">
        <v>158</v>
      </c>
      <c r="B4" s="306" t="s">
        <v>157</v>
      </c>
      <c r="C4" s="303">
        <v>0</v>
      </c>
      <c r="D4" s="227">
        <v>0</v>
      </c>
      <c r="E4" s="227">
        <v>0.2</v>
      </c>
      <c r="F4" s="303">
        <v>5.0000000000000001E-3</v>
      </c>
      <c r="G4" s="300" t="s">
        <v>144</v>
      </c>
      <c r="H4" s="302" t="s">
        <v>150</v>
      </c>
      <c r="I4" s="203"/>
      <c r="K4" s="203"/>
    </row>
    <row r="5" spans="1:11" ht="28.9" customHeight="1" thickBot="1">
      <c r="A5" s="305" t="s">
        <v>156</v>
      </c>
      <c r="B5" s="304" t="s">
        <v>155</v>
      </c>
      <c r="C5" s="303">
        <v>0.2</v>
      </c>
      <c r="D5" s="227">
        <v>0</v>
      </c>
      <c r="E5" s="227">
        <v>0.2</v>
      </c>
      <c r="F5" s="303">
        <v>5.0000000000000001E-3</v>
      </c>
      <c r="G5" s="300" t="s">
        <v>144</v>
      </c>
      <c r="H5" s="302" t="s">
        <v>150</v>
      </c>
      <c r="I5" s="203"/>
      <c r="K5" s="203"/>
    </row>
    <row r="6" spans="1:11" ht="28.9" customHeight="1" thickBot="1">
      <c r="A6" s="305" t="s">
        <v>154</v>
      </c>
      <c r="B6" s="304" t="s">
        <v>153</v>
      </c>
      <c r="C6" s="303">
        <v>0</v>
      </c>
      <c r="D6" s="227">
        <v>0</v>
      </c>
      <c r="E6" s="227">
        <v>0.2</v>
      </c>
      <c r="F6" s="303">
        <v>5.0000000000000001E-3</v>
      </c>
      <c r="G6" s="300" t="s">
        <v>144</v>
      </c>
      <c r="H6" s="302" t="s">
        <v>150</v>
      </c>
      <c r="I6" s="203"/>
      <c r="K6" s="203"/>
    </row>
    <row r="7" spans="1:11" ht="28.9" customHeight="1" thickBot="1">
      <c r="A7" s="305" t="s">
        <v>152</v>
      </c>
      <c r="B7" s="304" t="s">
        <v>151</v>
      </c>
      <c r="C7" s="303">
        <v>0.2</v>
      </c>
      <c r="D7" s="227">
        <v>0</v>
      </c>
      <c r="E7" s="227">
        <v>0.2</v>
      </c>
      <c r="F7" s="303">
        <v>5.0000000000000001E-3</v>
      </c>
      <c r="G7" s="300" t="s">
        <v>144</v>
      </c>
      <c r="H7" s="302" t="s">
        <v>150</v>
      </c>
      <c r="I7" s="203"/>
      <c r="K7" s="203"/>
    </row>
    <row r="8" spans="1:11" s="200" customFormat="1" ht="19.350000000000001" customHeight="1" thickBot="1">
      <c r="A8" s="301" t="s">
        <v>149</v>
      </c>
      <c r="B8" s="301" t="s">
        <v>148</v>
      </c>
      <c r="C8" s="301" t="s">
        <v>147</v>
      </c>
      <c r="D8" s="299" t="s">
        <v>110</v>
      </c>
      <c r="E8" s="301" t="s">
        <v>146</v>
      </c>
      <c r="F8" s="299" t="s">
        <v>145</v>
      </c>
      <c r="G8" s="300" t="s">
        <v>144</v>
      </c>
      <c r="H8" s="299" t="s">
        <v>143</v>
      </c>
      <c r="I8" s="243"/>
      <c r="K8" s="243"/>
    </row>
    <row r="9" spans="1:11" ht="19.350000000000001" customHeight="1" thickBot="1">
      <c r="A9" s="298" t="s">
        <v>142</v>
      </c>
      <c r="B9" s="297" t="s">
        <v>141</v>
      </c>
      <c r="C9" s="296">
        <v>0.2</v>
      </c>
      <c r="D9" s="296">
        <v>0</v>
      </c>
      <c r="E9" s="295">
        <v>0</v>
      </c>
      <c r="F9" s="295">
        <v>0</v>
      </c>
      <c r="G9" s="294"/>
      <c r="H9" s="294" t="s">
        <v>140</v>
      </c>
      <c r="I9" s="203"/>
      <c r="K9" s="203"/>
    </row>
    <row r="10" spans="1:11" ht="19.350000000000001" customHeight="1">
      <c r="A10" s="561" t="s">
        <v>139</v>
      </c>
      <c r="B10" s="562"/>
      <c r="C10" s="562"/>
      <c r="D10" s="563"/>
      <c r="E10" s="241"/>
      <c r="F10" s="237"/>
      <c r="G10" s="237"/>
      <c r="H10" s="237"/>
      <c r="I10" s="237"/>
      <c r="J10" s="237"/>
      <c r="K10" s="203"/>
    </row>
    <row r="11" spans="1:11" ht="23.65" customHeight="1" thickBot="1">
      <c r="A11" s="293" t="s">
        <v>138</v>
      </c>
      <c r="B11" s="292">
        <v>0.2</v>
      </c>
      <c r="C11" s="291" t="s">
        <v>137</v>
      </c>
      <c r="D11" s="206"/>
      <c r="E11" s="237"/>
      <c r="F11" s="290"/>
      <c r="G11" s="204"/>
      <c r="H11" s="205"/>
      <c r="I11" s="205"/>
      <c r="J11" s="205"/>
    </row>
    <row r="12" spans="1:11" ht="23.65" customHeight="1" thickBot="1">
      <c r="A12" s="287" t="s">
        <v>136</v>
      </c>
      <c r="B12" s="286">
        <v>0.06</v>
      </c>
      <c r="C12" s="288" t="s">
        <v>130</v>
      </c>
      <c r="D12" s="203"/>
      <c r="E12" s="200"/>
      <c r="F12" s="289"/>
    </row>
    <row r="13" spans="1:11" ht="23.65" customHeight="1" thickBot="1">
      <c r="A13" s="287" t="s">
        <v>135</v>
      </c>
      <c r="B13" s="286">
        <v>0.05</v>
      </c>
      <c r="C13" s="288" t="s">
        <v>130</v>
      </c>
      <c r="D13" s="203"/>
      <c r="E13" s="270"/>
      <c r="F13" s="284"/>
    </row>
    <row r="14" spans="1:11" ht="23.65" customHeight="1" thickBot="1">
      <c r="A14" s="287" t="s">
        <v>134</v>
      </c>
      <c r="B14" s="229">
        <v>0.05</v>
      </c>
      <c r="C14" s="288" t="s">
        <v>130</v>
      </c>
      <c r="D14" s="203"/>
      <c r="E14" s="270"/>
      <c r="F14" s="284"/>
    </row>
    <row r="15" spans="1:11" ht="23.65" customHeight="1" thickBot="1">
      <c r="A15" s="287" t="s">
        <v>133</v>
      </c>
      <c r="B15" s="286">
        <v>0.14000000000000001</v>
      </c>
      <c r="C15" s="285" t="s">
        <v>132</v>
      </c>
      <c r="D15" s="203"/>
      <c r="E15" s="270"/>
      <c r="F15" s="284"/>
    </row>
    <row r="16" spans="1:11" ht="23.65" customHeight="1" thickBot="1">
      <c r="A16" s="283" t="s">
        <v>131</v>
      </c>
      <c r="B16" s="282">
        <v>0</v>
      </c>
      <c r="C16" s="281" t="s">
        <v>130</v>
      </c>
      <c r="D16" s="203"/>
    </row>
    <row r="17" spans="1:9" ht="19.350000000000001" customHeight="1" thickBot="1">
      <c r="A17" s="280"/>
      <c r="B17" s="227"/>
      <c r="C17" s="280"/>
      <c r="D17" s="279"/>
      <c r="E17" s="219"/>
      <c r="F17" s="219"/>
      <c r="G17" s="218"/>
      <c r="H17" s="219"/>
    </row>
    <row r="18" spans="1:9" ht="19.350000000000001" customHeight="1">
      <c r="A18" s="278" t="s">
        <v>129</v>
      </c>
      <c r="B18" s="277"/>
      <c r="C18" s="276"/>
      <c r="D18" s="275"/>
      <c r="E18" s="274"/>
      <c r="F18" s="274"/>
      <c r="G18" s="273"/>
      <c r="H18" s="272"/>
      <c r="I18" s="203"/>
    </row>
    <row r="19" spans="1:9" ht="19.350000000000001" customHeight="1">
      <c r="A19" s="271" t="s">
        <v>128</v>
      </c>
      <c r="B19" s="270"/>
      <c r="C19" s="269"/>
      <c r="D19" s="268"/>
      <c r="H19" s="267"/>
      <c r="I19" s="203"/>
    </row>
    <row r="20" spans="1:9" ht="19.350000000000001" customHeight="1">
      <c r="A20" s="271" t="s">
        <v>127</v>
      </c>
      <c r="B20" s="270"/>
      <c r="C20" s="269"/>
      <c r="D20" s="268"/>
      <c r="H20" s="267"/>
      <c r="I20" s="203"/>
    </row>
    <row r="21" spans="1:9" ht="19.350000000000001" customHeight="1">
      <c r="A21" s="271" t="s">
        <v>126</v>
      </c>
      <c r="B21" s="270"/>
      <c r="C21" s="269"/>
      <c r="D21" s="268"/>
      <c r="H21" s="267"/>
      <c r="I21" s="203"/>
    </row>
    <row r="22" spans="1:9" ht="19.350000000000001" customHeight="1">
      <c r="A22" s="271" t="s">
        <v>125</v>
      </c>
      <c r="B22" s="270"/>
      <c r="C22" s="269"/>
      <c r="D22" s="268"/>
      <c r="H22" s="267"/>
      <c r="I22" s="203"/>
    </row>
    <row r="23" spans="1:9" ht="19.350000000000001" customHeight="1" thickBot="1">
      <c r="A23" s="266"/>
      <c r="B23" s="265"/>
      <c r="C23" s="264"/>
      <c r="D23" s="263"/>
      <c r="E23" s="262"/>
      <c r="F23" s="262"/>
      <c r="G23" s="261"/>
      <c r="H23" s="260"/>
      <c r="I23" s="203"/>
    </row>
    <row r="24" spans="1:9" ht="19.350000000000001" customHeight="1" thickBot="1">
      <c r="A24" s="259"/>
      <c r="B24" s="258"/>
      <c r="C24" s="257"/>
      <c r="D24" s="256"/>
      <c r="E24" s="254"/>
      <c r="F24" s="254"/>
      <c r="G24" s="255"/>
      <c r="H24" s="254"/>
    </row>
    <row r="25" spans="1:9" ht="19.350000000000001" customHeight="1" thickBot="1">
      <c r="A25" s="253"/>
      <c r="B25" s="252"/>
      <c r="C25" s="203"/>
    </row>
    <row r="26" spans="1:9" ht="26.85" customHeight="1">
      <c r="A26" s="251" t="str">
        <f>A2</f>
        <v>DAP</v>
      </c>
      <c r="B26" s="250"/>
      <c r="C26" s="248"/>
      <c r="D26" s="248"/>
      <c r="E26" s="248"/>
      <c r="F26" s="248"/>
      <c r="G26" s="247"/>
    </row>
    <row r="27" spans="1:9" ht="26.85" customHeight="1">
      <c r="A27" s="67"/>
      <c r="B27" s="67"/>
      <c r="C27" s="67" t="s">
        <v>3</v>
      </c>
      <c r="D27" s="67" t="s">
        <v>123</v>
      </c>
      <c r="E27" s="67" t="s">
        <v>122</v>
      </c>
      <c r="F27" s="67" t="s">
        <v>121</v>
      </c>
      <c r="G27" s="217" t="s">
        <v>120</v>
      </c>
      <c r="H27" s="67" t="s">
        <v>119</v>
      </c>
      <c r="I27" s="243"/>
    </row>
    <row r="28" spans="1:9" ht="26.85" customHeight="1">
      <c r="A28" s="51"/>
      <c r="B28" s="212" t="s">
        <v>118</v>
      </c>
      <c r="C28" s="51"/>
      <c r="D28" s="210">
        <v>1</v>
      </c>
      <c r="E28" s="210"/>
      <c r="F28" s="215">
        <f>B15</f>
        <v>0.14000000000000001</v>
      </c>
      <c r="G28" s="216">
        <f>D28*F28</f>
        <v>0.14000000000000001</v>
      </c>
      <c r="H28" s="210">
        <f>D28+G28</f>
        <v>1.1400000000000001</v>
      </c>
      <c r="I28" s="243"/>
    </row>
    <row r="29" spans="1:9" ht="26.85" customHeight="1">
      <c r="A29" s="51" t="s">
        <v>113</v>
      </c>
      <c r="B29" s="212" t="s">
        <v>117</v>
      </c>
      <c r="C29" s="215">
        <f>SUM(C2,F2)</f>
        <v>5.0000000000000001E-3</v>
      </c>
      <c r="D29" s="210">
        <f>C29*D28</f>
        <v>5.0000000000000001E-3</v>
      </c>
      <c r="E29" s="210"/>
      <c r="F29" s="210"/>
      <c r="G29" s="211"/>
      <c r="H29" s="210"/>
      <c r="I29" s="243"/>
    </row>
    <row r="30" spans="1:9" ht="26.85" customHeight="1">
      <c r="A30" s="51" t="s">
        <v>113</v>
      </c>
      <c r="B30" s="212" t="s">
        <v>116</v>
      </c>
      <c r="C30" s="215">
        <f>E3</f>
        <v>0.2</v>
      </c>
      <c r="D30" s="210">
        <f>SUM(D28:D29)*C30</f>
        <v>0.20099999999999998</v>
      </c>
      <c r="E30" s="210"/>
      <c r="F30" s="210"/>
      <c r="G30" s="211"/>
      <c r="H30" s="210"/>
      <c r="I30" s="243"/>
    </row>
    <row r="31" spans="1:9" ht="26.85" customHeight="1">
      <c r="A31" s="51" t="s">
        <v>113</v>
      </c>
      <c r="B31" s="212" t="s">
        <v>115</v>
      </c>
      <c r="C31" s="215">
        <f>$B$13</f>
        <v>0.05</v>
      </c>
      <c r="D31" s="210">
        <f>D28*C31</f>
        <v>0.05</v>
      </c>
      <c r="E31" s="210">
        <f>1-$B$11</f>
        <v>0.8</v>
      </c>
      <c r="F31" s="210"/>
      <c r="G31" s="211"/>
      <c r="H31" s="210">
        <f>D31*E31</f>
        <v>4.0000000000000008E-2</v>
      </c>
      <c r="I31" s="243"/>
    </row>
    <row r="32" spans="1:9" ht="26.85" customHeight="1">
      <c r="A32" s="51"/>
      <c r="B32" s="212" t="s">
        <v>114</v>
      </c>
      <c r="C32" s="215"/>
      <c r="D32" s="210">
        <f>SUM(D28:D31)</f>
        <v>1.256</v>
      </c>
      <c r="E32" s="210"/>
      <c r="F32" s="210"/>
      <c r="G32" s="211"/>
      <c r="H32" s="210"/>
      <c r="I32" s="243"/>
    </row>
    <row r="33" spans="1:9" ht="26.85" customHeight="1">
      <c r="A33" s="51" t="s">
        <v>113</v>
      </c>
      <c r="B33" s="212" t="s">
        <v>112</v>
      </c>
      <c r="C33" s="215">
        <f>$B$14</f>
        <v>0.05</v>
      </c>
      <c r="D33" s="210">
        <f>D28*C33</f>
        <v>0.05</v>
      </c>
      <c r="E33" s="210">
        <f>1-$B$11</f>
        <v>0.8</v>
      </c>
      <c r="F33" s="210"/>
      <c r="G33" s="211"/>
      <c r="H33" s="210">
        <f>D33*E33</f>
        <v>4.0000000000000008E-2</v>
      </c>
      <c r="I33" s="243"/>
    </row>
    <row r="34" spans="1:9" ht="26.85" customHeight="1">
      <c r="A34" s="51" t="s">
        <v>111</v>
      </c>
      <c r="B34" s="212" t="s">
        <v>110</v>
      </c>
      <c r="C34" s="214">
        <f>$B$16</f>
        <v>0</v>
      </c>
      <c r="D34" s="210">
        <f>C34*(SUM(D32,D33))</f>
        <v>0</v>
      </c>
      <c r="E34" s="210"/>
      <c r="F34" s="210"/>
      <c r="G34" s="211"/>
      <c r="H34" s="210"/>
      <c r="I34" s="243"/>
    </row>
    <row r="35" spans="1:9" ht="26.85" customHeight="1">
      <c r="A35" s="51"/>
      <c r="B35" s="212" t="s">
        <v>124</v>
      </c>
      <c r="C35" s="51"/>
      <c r="D35" s="210">
        <f>SUM(D32:D34)</f>
        <v>1.306</v>
      </c>
      <c r="E35" s="210"/>
      <c r="F35" s="210"/>
      <c r="G35" s="211"/>
      <c r="H35" s="210">
        <f>SUM(H28:H34)</f>
        <v>1.2200000000000002</v>
      </c>
      <c r="I35" s="243"/>
    </row>
    <row r="36" spans="1:9" ht="26.85" customHeight="1">
      <c r="A36" s="242"/>
      <c r="B36" s="208" t="s">
        <v>108</v>
      </c>
      <c r="C36" s="207">
        <f>H35/D35</f>
        <v>0.93415007656967852</v>
      </c>
      <c r="D36" s="241"/>
      <c r="E36" s="237"/>
      <c r="F36" s="237"/>
      <c r="G36" s="240"/>
    </row>
    <row r="37" spans="1:9" ht="19.350000000000001" customHeight="1">
      <c r="B37" s="237"/>
      <c r="C37" s="205"/>
    </row>
    <row r="38" spans="1:9" ht="19.350000000000001" customHeight="1">
      <c r="B38" s="237"/>
      <c r="C38" s="205"/>
    </row>
    <row r="39" spans="1:9" ht="19.350000000000001" customHeight="1">
      <c r="A39" s="239"/>
      <c r="B39" s="237"/>
      <c r="C39" s="237"/>
      <c r="D39" s="200"/>
      <c r="E39" s="200"/>
      <c r="F39" s="200"/>
      <c r="G39" s="238"/>
    </row>
    <row r="40" spans="1:9" ht="19.350000000000001" customHeight="1">
      <c r="A40" s="236"/>
    </row>
    <row r="41" spans="1:9" ht="25.9" customHeight="1">
      <c r="A41" s="249" t="str">
        <f>A3</f>
        <v>UREA</v>
      </c>
      <c r="B41" s="220"/>
      <c r="C41" s="248"/>
      <c r="D41" s="248"/>
      <c r="E41" s="248"/>
      <c r="F41" s="248"/>
      <c r="G41" s="247"/>
    </row>
    <row r="42" spans="1:9" ht="25.9" customHeight="1">
      <c r="A42" s="246"/>
      <c r="B42" s="67"/>
      <c r="C42" s="67" t="s">
        <v>3</v>
      </c>
      <c r="D42" s="67" t="s">
        <v>123</v>
      </c>
      <c r="E42" s="67" t="s">
        <v>122</v>
      </c>
      <c r="F42" s="67" t="s">
        <v>121</v>
      </c>
      <c r="G42" s="217" t="s">
        <v>120</v>
      </c>
      <c r="H42" s="67" t="s">
        <v>119</v>
      </c>
      <c r="I42" s="243"/>
    </row>
    <row r="43" spans="1:9" ht="25.9" customHeight="1">
      <c r="A43" s="213"/>
      <c r="B43" s="212" t="s">
        <v>118</v>
      </c>
      <c r="C43" s="51"/>
      <c r="D43" s="210">
        <v>1</v>
      </c>
      <c r="E43" s="210"/>
      <c r="F43" s="215">
        <f>$B$15</f>
        <v>0.14000000000000001</v>
      </c>
      <c r="G43" s="216">
        <f>D43*F43</f>
        <v>0.14000000000000001</v>
      </c>
      <c r="H43" s="210">
        <f>D43+G43</f>
        <v>1.1400000000000001</v>
      </c>
      <c r="I43" s="243"/>
    </row>
    <row r="44" spans="1:9" ht="25.9" customHeight="1">
      <c r="A44" s="213" t="s">
        <v>113</v>
      </c>
      <c r="B44" s="212" t="s">
        <v>117</v>
      </c>
      <c r="C44" s="215">
        <f>SUM(C3,F3)</f>
        <v>5.0000000000000001E-3</v>
      </c>
      <c r="D44" s="210">
        <f>C44*D43</f>
        <v>5.0000000000000001E-3</v>
      </c>
      <c r="E44" s="210"/>
      <c r="F44" s="210"/>
      <c r="G44" s="211"/>
      <c r="H44" s="210"/>
      <c r="I44" s="243"/>
    </row>
    <row r="45" spans="1:9" ht="25.9" customHeight="1">
      <c r="A45" s="213" t="s">
        <v>113</v>
      </c>
      <c r="B45" s="212" t="s">
        <v>116</v>
      </c>
      <c r="C45" s="215">
        <f>E4</f>
        <v>0.2</v>
      </c>
      <c r="D45" s="210">
        <f>SUM(D43:D44)*C45</f>
        <v>0.20099999999999998</v>
      </c>
      <c r="E45" s="210"/>
      <c r="F45" s="210"/>
      <c r="G45" s="211"/>
      <c r="H45" s="210"/>
      <c r="I45" s="243"/>
    </row>
    <row r="46" spans="1:9" ht="25.9" customHeight="1">
      <c r="A46" s="213" t="s">
        <v>113</v>
      </c>
      <c r="B46" s="212" t="s">
        <v>115</v>
      </c>
      <c r="C46" s="215">
        <f>$B$13</f>
        <v>0.05</v>
      </c>
      <c r="D46" s="210">
        <f>D43*C46</f>
        <v>0.05</v>
      </c>
      <c r="E46" s="210">
        <f>1-$B$11</f>
        <v>0.8</v>
      </c>
      <c r="F46" s="210"/>
      <c r="G46" s="211"/>
      <c r="H46" s="210">
        <f>D46*E46</f>
        <v>4.0000000000000008E-2</v>
      </c>
      <c r="I46" s="243"/>
    </row>
    <row r="47" spans="1:9" ht="25.9" customHeight="1">
      <c r="A47" s="213" t="s">
        <v>113</v>
      </c>
      <c r="B47" s="212" t="s">
        <v>114</v>
      </c>
      <c r="C47" s="215"/>
      <c r="D47" s="210">
        <f>SUM(D43:D46)</f>
        <v>1.256</v>
      </c>
      <c r="E47" s="210"/>
      <c r="F47" s="210"/>
      <c r="G47" s="211"/>
      <c r="H47" s="210"/>
      <c r="I47" s="243"/>
    </row>
    <row r="48" spans="1:9" ht="25.9" customHeight="1">
      <c r="A48" s="213" t="s">
        <v>113</v>
      </c>
      <c r="B48" s="212" t="s">
        <v>112</v>
      </c>
      <c r="C48" s="215">
        <f>$B$14</f>
        <v>0.05</v>
      </c>
      <c r="D48" s="210">
        <f>D43*C48</f>
        <v>0.05</v>
      </c>
      <c r="E48" s="210">
        <f>1-$B$11</f>
        <v>0.8</v>
      </c>
      <c r="F48" s="210"/>
      <c r="G48" s="211"/>
      <c r="H48" s="210">
        <f>D48*E48</f>
        <v>4.0000000000000008E-2</v>
      </c>
      <c r="I48" s="243"/>
    </row>
    <row r="49" spans="1:9" ht="25.9" customHeight="1">
      <c r="A49" s="213" t="s">
        <v>111</v>
      </c>
      <c r="B49" s="212" t="s">
        <v>110</v>
      </c>
      <c r="C49" s="214">
        <f>$B$16</f>
        <v>0</v>
      </c>
      <c r="D49" s="210">
        <f>C49*(SUM(D47,D48))</f>
        <v>0</v>
      </c>
      <c r="E49" s="210"/>
      <c r="F49" s="210"/>
      <c r="G49" s="211"/>
      <c r="H49" s="210"/>
      <c r="I49" s="243"/>
    </row>
    <row r="50" spans="1:9" ht="25.9" customHeight="1">
      <c r="A50" s="245"/>
      <c r="B50" s="212" t="s">
        <v>109</v>
      </c>
      <c r="C50" s="51"/>
      <c r="D50" s="244">
        <f>SUM(D47:D48)</f>
        <v>1.306</v>
      </c>
      <c r="E50" s="210"/>
      <c r="F50" s="210"/>
      <c r="G50" s="211"/>
      <c r="H50" s="210">
        <f>SUM(H43:H49)</f>
        <v>1.2200000000000002</v>
      </c>
      <c r="I50" s="243"/>
    </row>
    <row r="51" spans="1:9" ht="25.9" customHeight="1">
      <c r="A51" s="242"/>
      <c r="B51" s="208" t="s">
        <v>108</v>
      </c>
      <c r="C51" s="207">
        <f>H50/D50</f>
        <v>0.93415007656967852</v>
      </c>
      <c r="D51" s="241"/>
      <c r="E51" s="237"/>
      <c r="F51" s="237"/>
      <c r="G51" s="240"/>
    </row>
    <row r="52" spans="1:9" ht="19.350000000000001" customHeight="1">
      <c r="A52" s="239"/>
      <c r="B52" s="237"/>
      <c r="C52" s="237"/>
      <c r="D52" s="200"/>
      <c r="E52" s="200"/>
      <c r="F52" s="200"/>
      <c r="G52" s="238"/>
    </row>
    <row r="53" spans="1:9" ht="19.350000000000001" customHeight="1">
      <c r="A53" s="236"/>
    </row>
    <row r="54" spans="1:9" ht="23.85" customHeight="1">
      <c r="A54" s="221" t="str">
        <f>A4</f>
        <v>Insecticides</v>
      </c>
      <c r="B54" s="220"/>
      <c r="C54" s="219"/>
      <c r="D54" s="219"/>
      <c r="E54" s="219"/>
      <c r="F54" s="219"/>
      <c r="G54" s="218"/>
    </row>
    <row r="55" spans="1:9" ht="23.85" customHeight="1">
      <c r="A55" s="53"/>
      <c r="B55" s="67"/>
      <c r="C55" s="67" t="s">
        <v>3</v>
      </c>
      <c r="D55" s="67" t="s">
        <v>123</v>
      </c>
      <c r="E55" s="67" t="s">
        <v>122</v>
      </c>
      <c r="F55" s="67" t="s">
        <v>121</v>
      </c>
      <c r="G55" s="217" t="s">
        <v>120</v>
      </c>
      <c r="H55" s="67" t="s">
        <v>119</v>
      </c>
      <c r="I55" s="203"/>
    </row>
    <row r="56" spans="1:9" ht="23.85" customHeight="1">
      <c r="A56" s="85"/>
      <c r="B56" s="212" t="s">
        <v>118</v>
      </c>
      <c r="C56" s="51"/>
      <c r="D56" s="210">
        <v>1</v>
      </c>
      <c r="E56" s="210"/>
      <c r="F56" s="215">
        <f>$B$15</f>
        <v>0.14000000000000001</v>
      </c>
      <c r="G56" s="216">
        <f>D56*F56</f>
        <v>0.14000000000000001</v>
      </c>
      <c r="H56" s="210">
        <f>D56+G56</f>
        <v>1.1400000000000001</v>
      </c>
      <c r="I56" s="203"/>
    </row>
    <row r="57" spans="1:9" ht="23.85" customHeight="1">
      <c r="A57" s="213" t="s">
        <v>113</v>
      </c>
      <c r="B57" s="212" t="s">
        <v>117</v>
      </c>
      <c r="C57" s="215">
        <f>SUM(C4,F4)</f>
        <v>5.0000000000000001E-3</v>
      </c>
      <c r="D57" s="210">
        <f>C57*D56</f>
        <v>5.0000000000000001E-3</v>
      </c>
      <c r="E57" s="210"/>
      <c r="F57" s="210"/>
      <c r="G57" s="211"/>
      <c r="H57" s="210"/>
      <c r="I57" s="203"/>
    </row>
    <row r="58" spans="1:9" ht="23.85" customHeight="1">
      <c r="A58" s="213" t="s">
        <v>113</v>
      </c>
      <c r="B58" s="212" t="s">
        <v>116</v>
      </c>
      <c r="C58" s="215">
        <f>E5</f>
        <v>0.2</v>
      </c>
      <c r="D58" s="210">
        <f>SUM(D56:D57)*C58</f>
        <v>0.20099999999999998</v>
      </c>
      <c r="E58" s="210"/>
      <c r="F58" s="210"/>
      <c r="G58" s="211"/>
      <c r="H58" s="210"/>
      <c r="I58" s="203"/>
    </row>
    <row r="59" spans="1:9" ht="23.85" customHeight="1">
      <c r="A59" s="213" t="s">
        <v>113</v>
      </c>
      <c r="B59" s="212" t="s">
        <v>115</v>
      </c>
      <c r="C59" s="215">
        <f>$B$13</f>
        <v>0.05</v>
      </c>
      <c r="D59" s="210">
        <f>D56*C59</f>
        <v>0.05</v>
      </c>
      <c r="E59" s="210">
        <f>1-$B$11</f>
        <v>0.8</v>
      </c>
      <c r="F59" s="210"/>
      <c r="G59" s="211"/>
      <c r="H59" s="210">
        <f>D59*E59</f>
        <v>4.0000000000000008E-2</v>
      </c>
      <c r="I59" s="203"/>
    </row>
    <row r="60" spans="1:9" ht="23.85" customHeight="1">
      <c r="A60" s="213" t="s">
        <v>113</v>
      </c>
      <c r="B60" s="212" t="s">
        <v>114</v>
      </c>
      <c r="C60" s="215"/>
      <c r="D60" s="210">
        <f>SUM(D56:D59)</f>
        <v>1.256</v>
      </c>
      <c r="E60" s="210"/>
      <c r="F60" s="210"/>
      <c r="G60" s="211"/>
      <c r="H60" s="210"/>
      <c r="I60" s="203"/>
    </row>
    <row r="61" spans="1:9" ht="23.85" customHeight="1">
      <c r="A61" s="213" t="s">
        <v>113</v>
      </c>
      <c r="B61" s="212" t="s">
        <v>112</v>
      </c>
      <c r="C61" s="215">
        <f>$B$14</f>
        <v>0.05</v>
      </c>
      <c r="D61" s="210">
        <f>D56*C61</f>
        <v>0.05</v>
      </c>
      <c r="E61" s="210">
        <f>1-$B$11</f>
        <v>0.8</v>
      </c>
      <c r="F61" s="210"/>
      <c r="G61" s="211"/>
      <c r="H61" s="210">
        <f>D61*E61</f>
        <v>4.0000000000000008E-2</v>
      </c>
      <c r="I61" s="203"/>
    </row>
    <row r="62" spans="1:9" ht="23.85" customHeight="1">
      <c r="A62" s="213" t="s">
        <v>111</v>
      </c>
      <c r="B62" s="212" t="s">
        <v>110</v>
      </c>
      <c r="C62" s="214">
        <f>$B$16</f>
        <v>0</v>
      </c>
      <c r="D62" s="210">
        <f>C62*(SUM(D60,D61))</f>
        <v>0</v>
      </c>
      <c r="E62" s="210"/>
      <c r="F62" s="210"/>
      <c r="G62" s="211"/>
      <c r="H62" s="210"/>
      <c r="I62" s="203"/>
    </row>
    <row r="63" spans="1:9" ht="23.85" customHeight="1">
      <c r="A63" s="213"/>
      <c r="B63" s="212" t="s">
        <v>109</v>
      </c>
      <c r="C63" s="51"/>
      <c r="D63" s="210">
        <f>SUM(D60:D61)</f>
        <v>1.306</v>
      </c>
      <c r="E63" s="210"/>
      <c r="F63" s="210"/>
      <c r="G63" s="211"/>
      <c r="H63" s="210">
        <f>SUM(H56:H62)</f>
        <v>1.2200000000000002</v>
      </c>
      <c r="I63" s="203"/>
    </row>
    <row r="64" spans="1:9" ht="23.85" customHeight="1">
      <c r="A64" s="209"/>
      <c r="B64" s="208" t="s">
        <v>108</v>
      </c>
      <c r="C64" s="207">
        <f>H63/D63</f>
        <v>0.93415007656967852</v>
      </c>
      <c r="D64" s="206"/>
      <c r="E64" s="205"/>
      <c r="F64" s="205"/>
      <c r="G64" s="204"/>
      <c r="I64" s="203"/>
    </row>
    <row r="65" spans="1:9" ht="19.350000000000001" customHeight="1">
      <c r="B65" s="237"/>
      <c r="C65" s="205"/>
      <c r="I65" s="203"/>
    </row>
    <row r="66" spans="1:9" ht="19.350000000000001" customHeight="1">
      <c r="A66" s="198"/>
      <c r="G66" s="198"/>
    </row>
    <row r="67" spans="1:9" ht="23.85" customHeight="1">
      <c r="A67" s="221" t="str">
        <f>A5</f>
        <v>Fuel</v>
      </c>
      <c r="B67" s="220"/>
      <c r="C67" s="219"/>
      <c r="D67" s="219"/>
      <c r="E67" s="219"/>
      <c r="F67" s="219"/>
      <c r="G67" s="218"/>
    </row>
    <row r="68" spans="1:9" ht="23.85" customHeight="1">
      <c r="A68" s="53"/>
      <c r="B68" s="67"/>
      <c r="C68" s="67" t="s">
        <v>3</v>
      </c>
      <c r="D68" s="67" t="s">
        <v>123</v>
      </c>
      <c r="E68" s="67" t="s">
        <v>122</v>
      </c>
      <c r="F68" s="67" t="s">
        <v>121</v>
      </c>
      <c r="G68" s="217" t="s">
        <v>120</v>
      </c>
      <c r="H68" s="67" t="s">
        <v>119</v>
      </c>
      <c r="I68" s="203"/>
    </row>
    <row r="69" spans="1:9" ht="23.85" customHeight="1">
      <c r="A69" s="85"/>
      <c r="B69" s="212" t="s">
        <v>118</v>
      </c>
      <c r="C69" s="51"/>
      <c r="D69" s="210">
        <v>1</v>
      </c>
      <c r="E69" s="210"/>
      <c r="F69" s="215">
        <f>$B$15</f>
        <v>0.14000000000000001</v>
      </c>
      <c r="G69" s="216">
        <f>D69*F69</f>
        <v>0.14000000000000001</v>
      </c>
      <c r="H69" s="210">
        <f>D69+G69</f>
        <v>1.1400000000000001</v>
      </c>
      <c r="I69" s="203"/>
    </row>
    <row r="70" spans="1:9" ht="23.85" customHeight="1">
      <c r="A70" s="213" t="s">
        <v>113</v>
      </c>
      <c r="B70" s="212" t="s">
        <v>117</v>
      </c>
      <c r="C70" s="215">
        <f>C5</f>
        <v>0.2</v>
      </c>
      <c r="D70" s="210">
        <f>C70*D69</f>
        <v>0.2</v>
      </c>
      <c r="E70" s="210"/>
      <c r="F70" s="210"/>
      <c r="G70" s="211"/>
      <c r="H70" s="210"/>
      <c r="I70" s="203"/>
    </row>
    <row r="71" spans="1:9" ht="23.85" customHeight="1">
      <c r="A71" s="213" t="s">
        <v>113</v>
      </c>
      <c r="B71" s="212" t="s">
        <v>116</v>
      </c>
      <c r="C71" s="215">
        <f>E5</f>
        <v>0.2</v>
      </c>
      <c r="D71" s="210">
        <f>SUM(D69:D70)*C71</f>
        <v>0.24</v>
      </c>
      <c r="E71" s="210"/>
      <c r="F71" s="210"/>
      <c r="G71" s="211"/>
      <c r="H71" s="210"/>
      <c r="I71" s="203"/>
    </row>
    <row r="72" spans="1:9" ht="23.85" customHeight="1">
      <c r="A72" s="213" t="s">
        <v>113</v>
      </c>
      <c r="B72" s="212" t="s">
        <v>115</v>
      </c>
      <c r="C72" s="215">
        <f>$B$13</f>
        <v>0.05</v>
      </c>
      <c r="D72" s="210">
        <f>D69*C72</f>
        <v>0.05</v>
      </c>
      <c r="E72" s="210">
        <f>1-$B$11</f>
        <v>0.8</v>
      </c>
      <c r="F72" s="210"/>
      <c r="G72" s="211"/>
      <c r="H72" s="210">
        <f>D72*E72</f>
        <v>4.0000000000000008E-2</v>
      </c>
      <c r="I72" s="203"/>
    </row>
    <row r="73" spans="1:9" ht="23.85" customHeight="1">
      <c r="A73" s="213" t="s">
        <v>113</v>
      </c>
      <c r="B73" s="212" t="s">
        <v>114</v>
      </c>
      <c r="C73" s="215"/>
      <c r="D73" s="210">
        <f>SUM(D69:D72)</f>
        <v>1.49</v>
      </c>
      <c r="E73" s="210"/>
      <c r="F73" s="210"/>
      <c r="G73" s="211"/>
      <c r="H73" s="210"/>
      <c r="I73" s="203"/>
    </row>
    <row r="74" spans="1:9" ht="23.85" customHeight="1">
      <c r="A74" s="213" t="s">
        <v>113</v>
      </c>
      <c r="B74" s="212" t="s">
        <v>112</v>
      </c>
      <c r="C74" s="215">
        <f>$B$14</f>
        <v>0.05</v>
      </c>
      <c r="D74" s="210">
        <f>D69*C74</f>
        <v>0.05</v>
      </c>
      <c r="E74" s="210">
        <f>1-$B$11</f>
        <v>0.8</v>
      </c>
      <c r="F74" s="210"/>
      <c r="G74" s="211"/>
      <c r="H74" s="210">
        <f>D74*E74</f>
        <v>4.0000000000000008E-2</v>
      </c>
      <c r="I74" s="203"/>
    </row>
    <row r="75" spans="1:9" ht="23.85" customHeight="1">
      <c r="A75" s="213" t="s">
        <v>111</v>
      </c>
      <c r="B75" s="212" t="s">
        <v>110</v>
      </c>
      <c r="C75" s="214">
        <f>$B$16</f>
        <v>0</v>
      </c>
      <c r="D75" s="210">
        <f>C75*(SUM(D73,D74))</f>
        <v>0</v>
      </c>
      <c r="E75" s="210"/>
      <c r="F75" s="210"/>
      <c r="G75" s="211"/>
      <c r="H75" s="210"/>
      <c r="I75" s="203"/>
    </row>
    <row r="76" spans="1:9" ht="23.85" customHeight="1">
      <c r="A76" s="213"/>
      <c r="B76" s="212" t="s">
        <v>109</v>
      </c>
      <c r="C76" s="51"/>
      <c r="D76" s="210">
        <f>SUM(D73:D74)</f>
        <v>1.54</v>
      </c>
      <c r="E76" s="210"/>
      <c r="F76" s="210"/>
      <c r="G76" s="211"/>
      <c r="H76" s="210">
        <f>SUM(H69:H75)</f>
        <v>1.2200000000000002</v>
      </c>
      <c r="I76" s="203"/>
    </row>
    <row r="77" spans="1:9" ht="23.85" customHeight="1">
      <c r="A77" s="209"/>
      <c r="B77" s="208" t="s">
        <v>108</v>
      </c>
      <c r="C77" s="207">
        <f>H76/D76</f>
        <v>0.79220779220779236</v>
      </c>
      <c r="D77" s="206"/>
      <c r="E77" s="205"/>
      <c r="F77" s="205"/>
      <c r="G77" s="204"/>
      <c r="I77" s="203"/>
    </row>
    <row r="78" spans="1:9" ht="19.350000000000001" customHeight="1">
      <c r="A78" s="198"/>
      <c r="G78" s="198"/>
    </row>
    <row r="79" spans="1:9" ht="13.5" thickBot="1">
      <c r="A79" s="236"/>
    </row>
    <row r="80" spans="1:9" ht="23.85" customHeight="1" thickBot="1">
      <c r="A80" s="235" t="str">
        <f>A6</f>
        <v>Hoes</v>
      </c>
      <c r="B80" s="220"/>
      <c r="C80" s="219"/>
      <c r="D80" s="219"/>
      <c r="E80" s="219"/>
      <c r="F80" s="219"/>
      <c r="G80" s="218"/>
      <c r="H80" s="219"/>
    </row>
    <row r="81" spans="1:9" ht="23.85" customHeight="1" thickBot="1">
      <c r="A81" s="234"/>
      <c r="B81" s="232"/>
      <c r="C81" s="232" t="s">
        <v>3</v>
      </c>
      <c r="D81" s="232" t="s">
        <v>123</v>
      </c>
      <c r="E81" s="232" t="s">
        <v>122</v>
      </c>
      <c r="F81" s="232" t="s">
        <v>121</v>
      </c>
      <c r="G81" s="233" t="s">
        <v>120</v>
      </c>
      <c r="H81" s="232" t="s">
        <v>119</v>
      </c>
      <c r="I81" s="203"/>
    </row>
    <row r="82" spans="1:9" ht="23.85" customHeight="1" thickBot="1">
      <c r="A82" s="231"/>
      <c r="B82" s="228" t="s">
        <v>118</v>
      </c>
      <c r="C82" s="226"/>
      <c r="D82" s="222">
        <v>1</v>
      </c>
      <c r="E82" s="222"/>
      <c r="F82" s="229">
        <f>$B$15</f>
        <v>0.14000000000000001</v>
      </c>
      <c r="G82" s="230">
        <f>D82*F82</f>
        <v>0.14000000000000001</v>
      </c>
      <c r="H82" s="222">
        <f>D82+G82</f>
        <v>1.1400000000000001</v>
      </c>
      <c r="I82" s="203"/>
    </row>
    <row r="83" spans="1:9" ht="23.85" customHeight="1" thickBot="1">
      <c r="A83" s="226" t="s">
        <v>113</v>
      </c>
      <c r="B83" s="228" t="s">
        <v>117</v>
      </c>
      <c r="C83" s="229">
        <f>C31</f>
        <v>0.05</v>
      </c>
      <c r="D83" s="222">
        <f>C83*D82</f>
        <v>0.05</v>
      </c>
      <c r="E83" s="222"/>
      <c r="F83" s="222"/>
      <c r="G83" s="223"/>
      <c r="H83" s="222"/>
      <c r="I83" s="203"/>
    </row>
    <row r="84" spans="1:9" ht="23.85" customHeight="1" thickBot="1">
      <c r="A84" s="226" t="s">
        <v>113</v>
      </c>
      <c r="B84" s="228" t="s">
        <v>116</v>
      </c>
      <c r="C84" s="229">
        <f>E6</f>
        <v>0.2</v>
      </c>
      <c r="D84" s="222">
        <f>SUM(D82:D83)*C84</f>
        <v>0.21000000000000002</v>
      </c>
      <c r="E84" s="222"/>
      <c r="F84" s="222"/>
      <c r="G84" s="223"/>
      <c r="H84" s="222"/>
      <c r="I84" s="203"/>
    </row>
    <row r="85" spans="1:9" ht="23.85" customHeight="1" thickBot="1">
      <c r="A85" s="226" t="s">
        <v>113</v>
      </c>
      <c r="B85" s="228" t="s">
        <v>115</v>
      </c>
      <c r="C85" s="229">
        <f>$B$13</f>
        <v>0.05</v>
      </c>
      <c r="D85" s="222">
        <f>D82*C85</f>
        <v>0.05</v>
      </c>
      <c r="E85" s="222">
        <f>1-$B$11</f>
        <v>0.8</v>
      </c>
      <c r="F85" s="222"/>
      <c r="G85" s="223"/>
      <c r="H85" s="222">
        <f>D85*E85</f>
        <v>4.0000000000000008E-2</v>
      </c>
      <c r="I85" s="203"/>
    </row>
    <row r="86" spans="1:9" ht="23.85" customHeight="1" thickBot="1">
      <c r="A86" s="226" t="s">
        <v>113</v>
      </c>
      <c r="B86" s="228" t="s">
        <v>114</v>
      </c>
      <c r="C86" s="229"/>
      <c r="D86" s="222">
        <f>SUM(D82:D85)</f>
        <v>1.31</v>
      </c>
      <c r="E86" s="222"/>
      <c r="F86" s="222"/>
      <c r="G86" s="223"/>
      <c r="H86" s="222"/>
      <c r="I86" s="203"/>
    </row>
    <row r="87" spans="1:9" ht="23.85" customHeight="1" thickBot="1">
      <c r="A87" s="226" t="s">
        <v>113</v>
      </c>
      <c r="B87" s="228" t="s">
        <v>112</v>
      </c>
      <c r="C87" s="229">
        <f>$B$14</f>
        <v>0.05</v>
      </c>
      <c r="D87" s="222">
        <f>D82*C87</f>
        <v>0.05</v>
      </c>
      <c r="E87" s="222">
        <f>1-$B$11</f>
        <v>0.8</v>
      </c>
      <c r="F87" s="222"/>
      <c r="G87" s="223"/>
      <c r="H87" s="222">
        <f>D87*E87</f>
        <v>4.0000000000000008E-2</v>
      </c>
      <c r="I87" s="203"/>
    </row>
    <row r="88" spans="1:9" ht="23.85" customHeight="1" thickBot="1">
      <c r="A88" s="226" t="s">
        <v>111</v>
      </c>
      <c r="B88" s="228" t="s">
        <v>110</v>
      </c>
      <c r="C88" s="227">
        <f>$B$16</f>
        <v>0</v>
      </c>
      <c r="D88" s="222">
        <f>C88*(SUM(D86,D87))</f>
        <v>0</v>
      </c>
      <c r="E88" s="222"/>
      <c r="F88" s="222"/>
      <c r="G88" s="223"/>
      <c r="H88" s="222"/>
      <c r="I88" s="203"/>
    </row>
    <row r="89" spans="1:9" ht="23.85" customHeight="1" thickBot="1">
      <c r="A89" s="226"/>
      <c r="B89" s="225" t="s">
        <v>109</v>
      </c>
      <c r="C89" s="224"/>
      <c r="D89" s="222">
        <f>SUM(D86:D87)</f>
        <v>1.36</v>
      </c>
      <c r="E89" s="222"/>
      <c r="F89" s="222"/>
      <c r="G89" s="223"/>
      <c r="H89" s="222">
        <f>SUM(H82:H88)</f>
        <v>1.2200000000000002</v>
      </c>
      <c r="I89" s="203"/>
    </row>
    <row r="90" spans="1:9" ht="23.85" customHeight="1">
      <c r="A90" s="209"/>
      <c r="B90" s="208" t="s">
        <v>108</v>
      </c>
      <c r="C90" s="207">
        <f>H89/D89</f>
        <v>0.8970588235294118</v>
      </c>
      <c r="D90" s="206"/>
      <c r="E90" s="205"/>
      <c r="F90" s="205"/>
      <c r="G90" s="204"/>
      <c r="H90" s="205"/>
      <c r="I90" s="203"/>
    </row>
    <row r="94" spans="1:9" ht="23.85" customHeight="1">
      <c r="A94" s="221" t="str">
        <f>A7</f>
        <v xml:space="preserve">Packaging bags </v>
      </c>
      <c r="B94" s="220"/>
      <c r="C94" s="219"/>
      <c r="D94" s="219"/>
      <c r="E94" s="219"/>
      <c r="F94" s="219"/>
      <c r="G94" s="218"/>
    </row>
    <row r="95" spans="1:9" ht="23.85" customHeight="1">
      <c r="A95" s="53"/>
      <c r="B95" s="67"/>
      <c r="C95" s="67" t="s">
        <v>3</v>
      </c>
      <c r="D95" s="67" t="s">
        <v>123</v>
      </c>
      <c r="E95" s="67" t="s">
        <v>122</v>
      </c>
      <c r="F95" s="67" t="s">
        <v>121</v>
      </c>
      <c r="G95" s="217" t="s">
        <v>120</v>
      </c>
      <c r="H95" s="67" t="s">
        <v>119</v>
      </c>
      <c r="I95" s="203"/>
    </row>
    <row r="96" spans="1:9" ht="23.85" customHeight="1">
      <c r="A96" s="85"/>
      <c r="B96" s="212" t="s">
        <v>118</v>
      </c>
      <c r="C96" s="51"/>
      <c r="D96" s="210">
        <v>1</v>
      </c>
      <c r="E96" s="210"/>
      <c r="F96" s="215">
        <f>$B$15</f>
        <v>0.14000000000000001</v>
      </c>
      <c r="G96" s="216">
        <f>D96*F96</f>
        <v>0.14000000000000001</v>
      </c>
      <c r="H96" s="210">
        <f>D96+G96</f>
        <v>1.1400000000000001</v>
      </c>
      <c r="I96" s="203"/>
    </row>
    <row r="97" spans="1:9" ht="23.85" customHeight="1">
      <c r="A97" s="213" t="s">
        <v>113</v>
      </c>
      <c r="B97" s="212" t="s">
        <v>117</v>
      </c>
      <c r="C97" s="215">
        <f>C45</f>
        <v>0.2</v>
      </c>
      <c r="D97" s="210">
        <f>C97*D96</f>
        <v>0.2</v>
      </c>
      <c r="E97" s="210"/>
      <c r="F97" s="210"/>
      <c r="G97" s="211"/>
      <c r="H97" s="210"/>
      <c r="I97" s="203"/>
    </row>
    <row r="98" spans="1:9" ht="23.85" customHeight="1">
      <c r="A98" s="213" t="s">
        <v>113</v>
      </c>
      <c r="B98" s="212" t="s">
        <v>116</v>
      </c>
      <c r="C98" s="215">
        <f>E7</f>
        <v>0.2</v>
      </c>
      <c r="D98" s="210">
        <f>SUM(D96:D97)*C98</f>
        <v>0.24</v>
      </c>
      <c r="E98" s="210"/>
      <c r="F98" s="210"/>
      <c r="G98" s="211"/>
      <c r="H98" s="210"/>
      <c r="I98" s="203"/>
    </row>
    <row r="99" spans="1:9" ht="23.85" customHeight="1">
      <c r="A99" s="213" t="s">
        <v>113</v>
      </c>
      <c r="B99" s="212" t="s">
        <v>115</v>
      </c>
      <c r="C99" s="215">
        <f>$B$13</f>
        <v>0.05</v>
      </c>
      <c r="D99" s="210">
        <f>D96*C99</f>
        <v>0.05</v>
      </c>
      <c r="E99" s="210">
        <f>1-$B$11</f>
        <v>0.8</v>
      </c>
      <c r="F99" s="210"/>
      <c r="G99" s="211"/>
      <c r="H99" s="210">
        <f>D99*E99</f>
        <v>4.0000000000000008E-2</v>
      </c>
      <c r="I99" s="203"/>
    </row>
    <row r="100" spans="1:9" ht="23.85" customHeight="1">
      <c r="A100" s="213" t="s">
        <v>113</v>
      </c>
      <c r="B100" s="212" t="s">
        <v>114</v>
      </c>
      <c r="C100" s="215"/>
      <c r="D100" s="210">
        <f>SUM(D96:D99)</f>
        <v>1.49</v>
      </c>
      <c r="E100" s="210"/>
      <c r="F100" s="210"/>
      <c r="G100" s="211"/>
      <c r="H100" s="210"/>
      <c r="I100" s="203"/>
    </row>
    <row r="101" spans="1:9" ht="23.85" customHeight="1">
      <c r="A101" s="213" t="s">
        <v>113</v>
      </c>
      <c r="B101" s="212" t="s">
        <v>112</v>
      </c>
      <c r="C101" s="215">
        <f>$B$14</f>
        <v>0.05</v>
      </c>
      <c r="D101" s="210">
        <f>D96*C101</f>
        <v>0.05</v>
      </c>
      <c r="E101" s="210">
        <f>1-$B$11</f>
        <v>0.8</v>
      </c>
      <c r="F101" s="210"/>
      <c r="G101" s="211"/>
      <c r="H101" s="210">
        <f>D101*E101</f>
        <v>4.0000000000000008E-2</v>
      </c>
      <c r="I101" s="203"/>
    </row>
    <row r="102" spans="1:9" ht="23.85" customHeight="1">
      <c r="A102" s="213" t="s">
        <v>111</v>
      </c>
      <c r="B102" s="212" t="s">
        <v>110</v>
      </c>
      <c r="C102" s="214">
        <f>$B$16</f>
        <v>0</v>
      </c>
      <c r="D102" s="210">
        <f>C102*(SUM(D100,D101))</f>
        <v>0</v>
      </c>
      <c r="E102" s="210"/>
      <c r="F102" s="210"/>
      <c r="G102" s="211"/>
      <c r="H102" s="210"/>
      <c r="I102" s="203"/>
    </row>
    <row r="103" spans="1:9" ht="23.85" customHeight="1">
      <c r="A103" s="213"/>
      <c r="B103" s="212" t="s">
        <v>109</v>
      </c>
      <c r="C103" s="51"/>
      <c r="D103" s="210">
        <f>SUM(D100:D101)</f>
        <v>1.54</v>
      </c>
      <c r="E103" s="210"/>
      <c r="F103" s="210"/>
      <c r="G103" s="211"/>
      <c r="H103" s="210">
        <f>SUM(H96:H102)</f>
        <v>1.2200000000000002</v>
      </c>
      <c r="I103" s="203"/>
    </row>
    <row r="104" spans="1:9" ht="23.85" customHeight="1">
      <c r="A104" s="209"/>
      <c r="B104" s="208" t="s">
        <v>108</v>
      </c>
      <c r="C104" s="207">
        <f>H103/D103</f>
        <v>0.79220779220779236</v>
      </c>
      <c r="D104" s="206"/>
      <c r="E104" s="205"/>
      <c r="F104" s="205"/>
      <c r="G104" s="204"/>
      <c r="I104" s="203"/>
    </row>
    <row r="107" spans="1:9" ht="23.85" customHeight="1">
      <c r="A107" s="221" t="str">
        <f>A9</f>
        <v>Maize</v>
      </c>
      <c r="B107" s="220"/>
      <c r="C107" s="219"/>
      <c r="D107" s="219"/>
      <c r="E107" s="219"/>
      <c r="F107" s="219"/>
      <c r="G107" s="218"/>
    </row>
    <row r="108" spans="1:9" ht="23.85" customHeight="1">
      <c r="A108" s="53"/>
      <c r="B108" s="67"/>
      <c r="C108" s="67" t="s">
        <v>3</v>
      </c>
      <c r="D108" s="67" t="s">
        <v>123</v>
      </c>
      <c r="E108" s="67" t="s">
        <v>122</v>
      </c>
      <c r="F108" s="67" t="s">
        <v>121</v>
      </c>
      <c r="G108" s="217" t="s">
        <v>120</v>
      </c>
      <c r="H108" s="67" t="s">
        <v>119</v>
      </c>
      <c r="I108" s="203"/>
    </row>
    <row r="109" spans="1:9" ht="23.85" customHeight="1">
      <c r="A109" s="85"/>
      <c r="B109" s="212" t="s">
        <v>118</v>
      </c>
      <c r="C109" s="51"/>
      <c r="D109" s="210">
        <v>1</v>
      </c>
      <c r="E109" s="210"/>
      <c r="F109" s="215">
        <f>$B$15</f>
        <v>0.14000000000000001</v>
      </c>
      <c r="G109" s="216">
        <f>D109*F109</f>
        <v>0.14000000000000001</v>
      </c>
      <c r="H109" s="210">
        <f>D109+G109</f>
        <v>1.1400000000000001</v>
      </c>
      <c r="I109" s="203"/>
    </row>
    <row r="110" spans="1:9" ht="23.85" customHeight="1">
      <c r="A110" s="213" t="s">
        <v>113</v>
      </c>
      <c r="B110" s="212" t="s">
        <v>117</v>
      </c>
      <c r="C110" s="215">
        <f>C58</f>
        <v>0.2</v>
      </c>
      <c r="D110" s="210">
        <f>C110*D109</f>
        <v>0.2</v>
      </c>
      <c r="E110" s="210"/>
      <c r="F110" s="210"/>
      <c r="G110" s="211"/>
      <c r="H110" s="210"/>
      <c r="I110" s="203"/>
    </row>
    <row r="111" spans="1:9" ht="23.85" customHeight="1">
      <c r="A111" s="213" t="s">
        <v>113</v>
      </c>
      <c r="B111" s="212" t="s">
        <v>116</v>
      </c>
      <c r="C111" s="215">
        <f>E9</f>
        <v>0</v>
      </c>
      <c r="D111" s="210">
        <f>SUM(D109:D110)*C111</f>
        <v>0</v>
      </c>
      <c r="E111" s="210"/>
      <c r="F111" s="210"/>
      <c r="G111" s="211"/>
      <c r="H111" s="210"/>
      <c r="I111" s="203"/>
    </row>
    <row r="112" spans="1:9" ht="23.85" customHeight="1">
      <c r="A112" s="213" t="s">
        <v>113</v>
      </c>
      <c r="B112" s="212" t="s">
        <v>115</v>
      </c>
      <c r="C112" s="215">
        <f>$B$13</f>
        <v>0.05</v>
      </c>
      <c r="D112" s="210">
        <f>D109*C112</f>
        <v>0.05</v>
      </c>
      <c r="E112" s="210">
        <f>1-$B$11</f>
        <v>0.8</v>
      </c>
      <c r="F112" s="210"/>
      <c r="G112" s="211"/>
      <c r="H112" s="210">
        <f>D112*E112</f>
        <v>4.0000000000000008E-2</v>
      </c>
      <c r="I112" s="203"/>
    </row>
    <row r="113" spans="1:9" ht="23.85" customHeight="1">
      <c r="A113" s="213" t="s">
        <v>113</v>
      </c>
      <c r="B113" s="212" t="s">
        <v>114</v>
      </c>
      <c r="C113" s="215"/>
      <c r="D113" s="210">
        <f>SUM(D109:D112)</f>
        <v>1.25</v>
      </c>
      <c r="E113" s="210"/>
      <c r="F113" s="210"/>
      <c r="G113" s="211"/>
      <c r="H113" s="210"/>
      <c r="I113" s="203"/>
    </row>
    <row r="114" spans="1:9" ht="23.85" customHeight="1">
      <c r="A114" s="213" t="s">
        <v>113</v>
      </c>
      <c r="B114" s="212" t="s">
        <v>112</v>
      </c>
      <c r="C114" s="215">
        <f>$B$14</f>
        <v>0.05</v>
      </c>
      <c r="D114" s="210">
        <f>D109*C114</f>
        <v>0.05</v>
      </c>
      <c r="E114" s="210">
        <f>1-$B$11</f>
        <v>0.8</v>
      </c>
      <c r="F114" s="210"/>
      <c r="G114" s="211"/>
      <c r="H114" s="210">
        <f>D114*E114</f>
        <v>4.0000000000000008E-2</v>
      </c>
      <c r="I114" s="203"/>
    </row>
    <row r="115" spans="1:9" ht="23.85" customHeight="1">
      <c r="A115" s="213" t="s">
        <v>111</v>
      </c>
      <c r="B115" s="212" t="s">
        <v>110</v>
      </c>
      <c r="C115" s="214">
        <f>$B$16</f>
        <v>0</v>
      </c>
      <c r="D115" s="210">
        <f>C115*(SUM(D113,D114))</f>
        <v>0</v>
      </c>
      <c r="E115" s="210"/>
      <c r="F115" s="210"/>
      <c r="G115" s="211"/>
      <c r="H115" s="210"/>
      <c r="I115" s="203"/>
    </row>
    <row r="116" spans="1:9" ht="23.85" customHeight="1">
      <c r="A116" s="213"/>
      <c r="B116" s="212" t="s">
        <v>109</v>
      </c>
      <c r="C116" s="51"/>
      <c r="D116" s="210">
        <f>SUM(D113:D114)</f>
        <v>1.3</v>
      </c>
      <c r="E116" s="210"/>
      <c r="F116" s="210"/>
      <c r="G116" s="211"/>
      <c r="H116" s="210">
        <f>SUM(H109:H115)</f>
        <v>1.2200000000000002</v>
      </c>
      <c r="I116" s="203"/>
    </row>
    <row r="117" spans="1:9" ht="23.85" customHeight="1">
      <c r="A117" s="209"/>
      <c r="B117" s="208" t="s">
        <v>108</v>
      </c>
      <c r="C117" s="207">
        <f>H116/D116</f>
        <v>0.93846153846153857</v>
      </c>
      <c r="D117" s="206"/>
      <c r="E117" s="205"/>
      <c r="F117" s="205"/>
      <c r="G117" s="204"/>
      <c r="I117" s="203"/>
    </row>
    <row r="123" spans="1:9">
      <c r="A123" s="201" t="s">
        <v>107</v>
      </c>
      <c r="B123" s="202">
        <v>2.1399999999999999E-2</v>
      </c>
    </row>
    <row r="124" spans="1:9">
      <c r="A124" s="201" t="s">
        <v>106</v>
      </c>
      <c r="B124" s="202">
        <f>100%-B123</f>
        <v>0.97860000000000003</v>
      </c>
    </row>
  </sheetData>
  <mergeCells count="1">
    <mergeCell ref="A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00B050"/>
  </sheetPr>
  <dimension ref="A1:I31"/>
  <sheetViews>
    <sheetView zoomScale="75" zoomScaleNormal="75" workbookViewId="0">
      <selection activeCell="D13" sqref="D13"/>
    </sheetView>
  </sheetViews>
  <sheetFormatPr defaultColWidth="16.7109375" defaultRowHeight="14.25"/>
  <cols>
    <col min="1" max="1" width="49.7109375" style="310" customWidth="1"/>
    <col min="2" max="2" width="28.42578125" style="310" customWidth="1"/>
    <col min="3" max="3" width="30.7109375" style="311" customWidth="1"/>
    <col min="4" max="4" width="27.5703125" style="310" customWidth="1"/>
    <col min="5" max="9" width="16.7109375" style="310"/>
    <col min="10" max="10" width="31.140625" style="310" customWidth="1"/>
    <col min="11" max="16384" width="16.7109375" style="310"/>
  </cols>
  <sheetData>
    <row r="1" spans="1:9" ht="20.100000000000001" customHeight="1">
      <c r="A1" s="342" t="s">
        <v>180</v>
      </c>
      <c r="B1" s="341"/>
      <c r="C1" s="277"/>
      <c r="D1" s="275"/>
      <c r="E1" s="340"/>
      <c r="F1" s="340"/>
      <c r="G1" s="340"/>
      <c r="H1" s="340"/>
      <c r="I1" s="340"/>
    </row>
    <row r="2" spans="1:9" ht="20.100000000000001" customHeight="1">
      <c r="A2" s="339" t="s">
        <v>165</v>
      </c>
      <c r="B2" s="333" t="s">
        <v>179</v>
      </c>
      <c r="C2" s="338" t="s">
        <v>178</v>
      </c>
      <c r="D2" s="268"/>
    </row>
    <row r="3" spans="1:9" ht="20.100000000000001" customHeight="1">
      <c r="A3" s="564"/>
      <c r="B3" s="565"/>
      <c r="C3" s="566"/>
      <c r="D3" s="337"/>
    </row>
    <row r="4" spans="1:9" ht="20.100000000000001" customHeight="1">
      <c r="A4" s="332" t="str">
        <f>'Conversion factors'!A26</f>
        <v>DAP</v>
      </c>
      <c r="B4" s="207">
        <f>'Conversion factors'!C36</f>
        <v>0.93415007656967852</v>
      </c>
      <c r="C4" s="331" t="s">
        <v>150</v>
      </c>
      <c r="D4" s="317"/>
    </row>
    <row r="5" spans="1:9" ht="20.100000000000001" customHeight="1">
      <c r="A5" s="332" t="str">
        <f>'Conversion factors'!A41</f>
        <v>UREA</v>
      </c>
      <c r="B5" s="207">
        <f>'Conversion factors'!C51</f>
        <v>0.93415007656967852</v>
      </c>
      <c r="C5" s="331" t="s">
        <v>150</v>
      </c>
      <c r="D5" s="317"/>
    </row>
    <row r="6" spans="1:9" ht="20.100000000000001" customHeight="1">
      <c r="A6" s="332" t="str">
        <f>'Conversion factors'!A54</f>
        <v>Insecticides</v>
      </c>
      <c r="B6" s="207">
        <f>'Conversion factors'!C64</f>
        <v>0.93415007656967852</v>
      </c>
      <c r="C6" s="331" t="s">
        <v>150</v>
      </c>
      <c r="D6" s="317"/>
    </row>
    <row r="7" spans="1:9" ht="20.100000000000001" customHeight="1">
      <c r="A7" s="332" t="str">
        <f>'Conversion factors'!A67</f>
        <v>Fuel</v>
      </c>
      <c r="B7" s="207">
        <f>'Conversion factors'!C77</f>
        <v>0.79220779220779236</v>
      </c>
      <c r="C7" s="331" t="s">
        <v>150</v>
      </c>
      <c r="D7" s="317"/>
    </row>
    <row r="8" spans="1:9" ht="20.100000000000001" customHeight="1">
      <c r="A8" s="332" t="str">
        <f>'Conversion factors'!A80</f>
        <v>Hoes</v>
      </c>
      <c r="B8" s="207">
        <f>'Conversion factors'!C90</f>
        <v>0.8970588235294118</v>
      </c>
      <c r="C8" s="331" t="s">
        <v>150</v>
      </c>
      <c r="D8" s="317"/>
    </row>
    <row r="9" spans="1:9" ht="20.100000000000001" customHeight="1">
      <c r="A9" s="336" t="str">
        <f>'Conversion factors'!A94</f>
        <v xml:space="preserve">Packaging bags </v>
      </c>
      <c r="B9" s="207">
        <f>'Conversion factors'!C104</f>
        <v>0.79220779220779236</v>
      </c>
      <c r="C9" s="331" t="s">
        <v>150</v>
      </c>
    </row>
    <row r="10" spans="1:9" ht="20.100000000000001" customHeight="1">
      <c r="A10" s="336" t="s">
        <v>177</v>
      </c>
      <c r="B10" s="207">
        <f>B15</f>
        <v>0.93846153846153857</v>
      </c>
      <c r="C10" s="331" t="s">
        <v>176</v>
      </c>
    </row>
    <row r="11" spans="1:9" ht="20.100000000000001" customHeight="1">
      <c r="A11" s="336" t="s">
        <v>175</v>
      </c>
      <c r="B11" s="207">
        <f>'Conversion factors'!B124</f>
        <v>0.97860000000000003</v>
      </c>
      <c r="C11" s="331" t="s">
        <v>174</v>
      </c>
    </row>
    <row r="12" spans="1:9" ht="20.100000000000001" customHeight="1">
      <c r="A12" s="335"/>
      <c r="B12" s="334"/>
      <c r="C12" s="331"/>
    </row>
    <row r="13" spans="1:9" ht="20.100000000000001" customHeight="1">
      <c r="A13" s="567" t="s">
        <v>173</v>
      </c>
      <c r="B13" s="568"/>
      <c r="C13" s="333"/>
      <c r="D13" s="317"/>
    </row>
    <row r="14" spans="1:9" ht="20.100000000000001" customHeight="1">
      <c r="A14" s="567" t="s">
        <v>172</v>
      </c>
      <c r="B14" s="568"/>
      <c r="C14" s="333"/>
      <c r="D14" s="317"/>
      <c r="E14" s="317"/>
    </row>
    <row r="15" spans="1:9" ht="20.100000000000001" customHeight="1">
      <c r="A15" s="332"/>
      <c r="B15" s="207">
        <f>'Conversion factors'!C117</f>
        <v>0.93846153846153857</v>
      </c>
      <c r="C15" s="331" t="s">
        <v>140</v>
      </c>
      <c r="E15" s="330"/>
    </row>
    <row r="16" spans="1:9">
      <c r="A16" s="329"/>
      <c r="B16" s="328"/>
      <c r="C16" s="327"/>
    </row>
    <row r="17" spans="1:4" ht="20.100000000000001" customHeight="1">
      <c r="A17" s="326" t="s">
        <v>171</v>
      </c>
      <c r="B17" s="325"/>
      <c r="C17" s="324"/>
      <c r="D17" s="317"/>
    </row>
    <row r="18" spans="1:4" ht="20.100000000000001" customHeight="1">
      <c r="A18" s="201"/>
      <c r="B18" s="323"/>
      <c r="C18" s="321"/>
      <c r="D18" s="317"/>
    </row>
    <row r="19" spans="1:4">
      <c r="A19" s="201" t="s">
        <v>170</v>
      </c>
      <c r="B19" s="322">
        <v>1960000000</v>
      </c>
      <c r="C19" s="321" t="s">
        <v>168</v>
      </c>
      <c r="D19" s="317"/>
    </row>
    <row r="20" spans="1:4">
      <c r="A20" s="201" t="s">
        <v>169</v>
      </c>
      <c r="B20" s="322">
        <v>3228000000</v>
      </c>
      <c r="C20" s="321" t="s">
        <v>168</v>
      </c>
      <c r="D20" s="317"/>
    </row>
    <row r="21" spans="1:4">
      <c r="A21" s="320" t="s">
        <v>167</v>
      </c>
      <c r="B21" s="319">
        <v>744971808</v>
      </c>
      <c r="C21" s="318"/>
      <c r="D21" s="317"/>
    </row>
    <row r="22" spans="1:4">
      <c r="A22" s="316"/>
      <c r="B22" s="205" t="s">
        <v>166</v>
      </c>
      <c r="C22" s="237"/>
    </row>
    <row r="23" spans="1:4">
      <c r="A23" s="315"/>
    </row>
    <row r="24" spans="1:4">
      <c r="A24" s="313"/>
    </row>
    <row r="25" spans="1:4">
      <c r="A25" s="313"/>
      <c r="B25" s="312"/>
      <c r="C25" s="314"/>
    </row>
    <row r="26" spans="1:4">
      <c r="A26" s="313"/>
    </row>
    <row r="27" spans="1:4">
      <c r="C27" s="312"/>
    </row>
    <row r="28" spans="1:4">
      <c r="C28" s="310"/>
    </row>
    <row r="29" spans="1:4">
      <c r="C29" s="310"/>
    </row>
    <row r="30" spans="1:4">
      <c r="C30" s="310"/>
    </row>
    <row r="31" spans="1:4">
      <c r="C31" s="310"/>
    </row>
  </sheetData>
  <mergeCells count="3">
    <mergeCell ref="A3:C3"/>
    <mergeCell ref="A13:B13"/>
    <mergeCell ref="A14:B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0000"/>
  </sheetPr>
  <dimension ref="A1:H49"/>
  <sheetViews>
    <sheetView showGridLines="0" topLeftCell="A4" zoomScale="80" zoomScaleNormal="80" workbookViewId="0">
      <selection activeCell="B24" sqref="B24"/>
    </sheetView>
  </sheetViews>
  <sheetFormatPr defaultRowHeight="15"/>
  <cols>
    <col min="1" max="1" width="47.140625" style="1" customWidth="1"/>
    <col min="2" max="2" width="30.7109375" style="1" customWidth="1"/>
    <col min="3" max="6" width="30.7109375" style="3" customWidth="1"/>
    <col min="7" max="8" width="15.7109375" style="3" customWidth="1"/>
    <col min="9" max="16384" width="9.140625" style="1"/>
  </cols>
  <sheetData>
    <row r="1" spans="1:6" s="1" customFormat="1" ht="18.75" customHeight="1">
      <c r="A1" s="569" t="s">
        <v>95</v>
      </c>
      <c r="B1" s="569"/>
      <c r="C1" s="569"/>
      <c r="D1" s="569"/>
      <c r="E1" s="569"/>
      <c r="F1" s="569"/>
    </row>
    <row r="2" spans="1:6" s="1" customFormat="1" ht="18.75" customHeight="1">
      <c r="A2" s="13" t="s">
        <v>10</v>
      </c>
      <c r="B2" s="13">
        <v>8.5000000000000006E-2</v>
      </c>
      <c r="C2" s="12"/>
      <c r="D2" s="11" t="s">
        <v>9</v>
      </c>
      <c r="E2" s="10" t="s">
        <v>8</v>
      </c>
      <c r="F2" s="10" t="s">
        <v>7</v>
      </c>
    </row>
    <row r="3" spans="1:6" s="1" customFormat="1" ht="18.75" customHeight="1">
      <c r="A3" s="13" t="s">
        <v>69</v>
      </c>
      <c r="B3" s="13">
        <v>0.06</v>
      </c>
      <c r="C3" s="12"/>
      <c r="D3" s="11"/>
      <c r="E3" s="10"/>
      <c r="F3" s="10"/>
    </row>
    <row r="4" spans="1:6" s="1" customFormat="1" ht="18.75" customHeight="1">
      <c r="A4" s="570" t="s">
        <v>1</v>
      </c>
      <c r="B4" s="571"/>
      <c r="C4" s="9"/>
      <c r="D4" s="8"/>
      <c r="E4" s="7"/>
      <c r="F4" s="7"/>
    </row>
    <row r="5" spans="1:6" s="1" customFormat="1">
      <c r="A5" s="572" t="s">
        <v>80</v>
      </c>
      <c r="B5" s="151" t="s">
        <v>94</v>
      </c>
      <c r="C5" s="673">
        <f>'Detailed Budget Notes '!E101</f>
        <v>2000</v>
      </c>
      <c r="D5" s="6" t="s">
        <v>75</v>
      </c>
      <c r="E5" s="4"/>
      <c r="F5" s="4"/>
    </row>
    <row r="6" spans="1:6" s="1" customFormat="1" ht="15" customHeight="1">
      <c r="A6" s="573"/>
      <c r="B6" s="168" t="s">
        <v>93</v>
      </c>
      <c r="C6" s="5">
        <f>C7*C8</f>
        <v>124.8</v>
      </c>
      <c r="D6" s="6" t="s">
        <v>75</v>
      </c>
      <c r="E6" s="4" t="s">
        <v>92</v>
      </c>
      <c r="F6" s="154" t="s">
        <v>91</v>
      </c>
    </row>
    <row r="7" spans="1:6" s="1" customFormat="1">
      <c r="A7" s="573"/>
      <c r="B7" s="167" t="s">
        <v>90</v>
      </c>
      <c r="C7" s="5">
        <v>1.2</v>
      </c>
      <c r="D7" s="6" t="s">
        <v>89</v>
      </c>
      <c r="E7" s="5" t="s">
        <v>88</v>
      </c>
      <c r="F7" s="5"/>
    </row>
    <row r="8" spans="1:6" s="1" customFormat="1">
      <c r="A8" s="573"/>
      <c r="B8" s="167" t="s">
        <v>87</v>
      </c>
      <c r="C8" s="5">
        <v>104</v>
      </c>
      <c r="D8" s="6" t="s">
        <v>86</v>
      </c>
      <c r="E8" s="5" t="s">
        <v>68</v>
      </c>
      <c r="F8" s="5"/>
    </row>
    <row r="9" spans="1:6" s="1" customFormat="1" ht="15" customHeight="1">
      <c r="A9" s="573"/>
      <c r="B9" s="151" t="s">
        <v>85</v>
      </c>
      <c r="C9" s="166">
        <f>C10*C11</f>
        <v>39680</v>
      </c>
      <c r="D9" s="6" t="s">
        <v>75</v>
      </c>
      <c r="E9" s="4"/>
      <c r="F9" s="4"/>
    </row>
    <row r="10" spans="1:6" s="1" customFormat="1" ht="15" customHeight="1">
      <c r="A10" s="573"/>
      <c r="B10" s="164" t="s">
        <v>85</v>
      </c>
      <c r="C10" s="165">
        <v>6200000</v>
      </c>
      <c r="D10" s="6" t="s">
        <v>84</v>
      </c>
      <c r="E10" s="163" t="s">
        <v>83</v>
      </c>
      <c r="F10" s="154" t="s">
        <v>82</v>
      </c>
    </row>
    <row r="11" spans="1:6" s="1" customFormat="1" ht="15" customHeight="1">
      <c r="A11" s="574"/>
      <c r="B11" s="164" t="s">
        <v>81</v>
      </c>
      <c r="C11" s="5">
        <v>6.4000000000000003E-3</v>
      </c>
      <c r="D11" s="6"/>
      <c r="E11" s="4"/>
      <c r="F11" s="4"/>
    </row>
    <row r="12" spans="1:6" s="153" customFormat="1">
      <c r="A12" s="169" t="s">
        <v>80</v>
      </c>
      <c r="B12" s="170" t="s">
        <v>6</v>
      </c>
      <c r="C12" s="171">
        <f>C5*10%</f>
        <v>200</v>
      </c>
      <c r="D12" s="172" t="s">
        <v>79</v>
      </c>
      <c r="E12" s="173" t="s">
        <v>78</v>
      </c>
      <c r="F12" s="174"/>
    </row>
    <row r="13" spans="1:6" s="1" customFormat="1">
      <c r="A13" s="570" t="s">
        <v>5</v>
      </c>
      <c r="B13" s="571"/>
      <c r="C13" s="9"/>
      <c r="D13" s="8"/>
      <c r="E13" s="7"/>
      <c r="F13" s="7"/>
    </row>
    <row r="14" spans="1:6" s="1" customFormat="1" ht="30">
      <c r="A14" s="151" t="s">
        <v>67</v>
      </c>
      <c r="B14" s="152" t="s">
        <v>64</v>
      </c>
      <c r="C14" s="162">
        <f>B47</f>
        <v>6747.9183673469388</v>
      </c>
      <c r="D14" s="6" t="s">
        <v>63</v>
      </c>
      <c r="E14" s="4" t="s">
        <v>62</v>
      </c>
      <c r="F14" s="4"/>
    </row>
    <row r="15" spans="1:6" s="1" customFormat="1" ht="30">
      <c r="A15" s="151" t="s">
        <v>66</v>
      </c>
      <c r="B15" s="152" t="s">
        <v>64</v>
      </c>
      <c r="C15" s="162">
        <f>B48</f>
        <v>8434.8979591836742</v>
      </c>
      <c r="D15" s="6" t="s">
        <v>63</v>
      </c>
      <c r="E15" s="4" t="s">
        <v>62</v>
      </c>
      <c r="F15" s="4"/>
    </row>
    <row r="16" spans="1:6" s="1" customFormat="1" ht="30">
      <c r="A16" s="151" t="s">
        <v>65</v>
      </c>
      <c r="B16" s="152" t="s">
        <v>64</v>
      </c>
      <c r="C16" s="162">
        <f>B49</f>
        <v>802.65306122448976</v>
      </c>
      <c r="D16" s="6" t="s">
        <v>63</v>
      </c>
      <c r="E16" s="4" t="s">
        <v>62</v>
      </c>
      <c r="F16" s="4"/>
    </row>
    <row r="17" spans="1:8">
      <c r="A17" s="570" t="s">
        <v>4</v>
      </c>
      <c r="B17" s="571"/>
      <c r="C17" s="9"/>
      <c r="D17" s="8"/>
      <c r="E17" s="7"/>
      <c r="F17" s="7"/>
    </row>
    <row r="18" spans="1:8" ht="15" customHeight="1">
      <c r="A18" s="575" t="s">
        <v>77</v>
      </c>
      <c r="B18" s="161" t="s">
        <v>76</v>
      </c>
      <c r="C18" s="160">
        <f>C19*C6</f>
        <v>37.44</v>
      </c>
      <c r="D18" s="159" t="s">
        <v>75</v>
      </c>
      <c r="E18" s="158"/>
      <c r="F18" s="158"/>
      <c r="G18" s="1"/>
      <c r="H18" s="1"/>
    </row>
    <row r="19" spans="1:8" ht="30">
      <c r="A19" s="575"/>
      <c r="B19" s="157" t="s">
        <v>74</v>
      </c>
      <c r="C19" s="156">
        <v>0.3</v>
      </c>
      <c r="D19" s="6" t="s">
        <v>3</v>
      </c>
      <c r="E19" s="4" t="s">
        <v>54</v>
      </c>
      <c r="F19" s="4"/>
    </row>
    <row r="21" spans="1:8" ht="15.75" thickBot="1"/>
    <row r="22" spans="1:8">
      <c r="A22" s="180" t="s">
        <v>2</v>
      </c>
      <c r="B22" s="181"/>
      <c r="C22" s="181"/>
      <c r="D22" s="181"/>
      <c r="E22" s="182"/>
      <c r="F22" s="182"/>
      <c r="G22" s="183"/>
      <c r="H22" s="1"/>
    </row>
    <row r="23" spans="1:8">
      <c r="A23" s="184" t="s">
        <v>101</v>
      </c>
      <c r="B23" s="674">
        <f>'Detailed Budget Notes '!F101</f>
        <v>1080000</v>
      </c>
      <c r="C23" s="2"/>
      <c r="D23" s="2"/>
      <c r="E23" s="185"/>
      <c r="F23" s="185"/>
      <c r="G23" s="186"/>
      <c r="H23" s="1"/>
    </row>
    <row r="24" spans="1:8">
      <c r="A24" s="184" t="s">
        <v>102</v>
      </c>
      <c r="B24" s="2">
        <v>5</v>
      </c>
      <c r="C24" s="185"/>
      <c r="D24" s="185"/>
      <c r="E24" s="185"/>
      <c r="F24" s="185"/>
      <c r="G24" s="186"/>
      <c r="H24" s="1"/>
    </row>
    <row r="25" spans="1:8">
      <c r="A25" s="184" t="s">
        <v>103</v>
      </c>
      <c r="B25" s="187">
        <f>B23/B24</f>
        <v>216000</v>
      </c>
      <c r="C25" s="185"/>
      <c r="D25" s="185"/>
      <c r="E25" s="185"/>
      <c r="F25" s="185"/>
      <c r="G25" s="186"/>
      <c r="H25" s="1"/>
    </row>
    <row r="26" spans="1:8">
      <c r="A26" s="184"/>
      <c r="B26" s="185"/>
      <c r="C26" s="2"/>
      <c r="D26" s="185"/>
      <c r="E26" s="185"/>
      <c r="F26" s="185"/>
      <c r="G26" s="186"/>
      <c r="H26" s="1"/>
    </row>
    <row r="27" spans="1:8">
      <c r="A27" s="188" t="s">
        <v>415</v>
      </c>
      <c r="B27" s="189">
        <f>B25/C5</f>
        <v>108</v>
      </c>
      <c r="C27" s="189">
        <f>B27</f>
        <v>108</v>
      </c>
      <c r="D27" s="189">
        <f>C27</f>
        <v>108</v>
      </c>
      <c r="E27" s="189">
        <f>D27</f>
        <v>108</v>
      </c>
      <c r="F27" s="189">
        <f>E27</f>
        <v>108</v>
      </c>
      <c r="G27" s="190">
        <f>F27</f>
        <v>108</v>
      </c>
      <c r="H27" s="1"/>
    </row>
    <row r="28" spans="1:8" ht="15.75" thickBot="1">
      <c r="A28" s="191" t="s">
        <v>416</v>
      </c>
      <c r="B28" s="192">
        <f>B27</f>
        <v>108</v>
      </c>
      <c r="C28" s="193">
        <f>C27+B28</f>
        <v>216</v>
      </c>
      <c r="D28" s="193">
        <f>D27+C28</f>
        <v>324</v>
      </c>
      <c r="E28" s="193">
        <f>E27+D28</f>
        <v>432</v>
      </c>
      <c r="F28" s="193">
        <f>F27+E28</f>
        <v>540</v>
      </c>
      <c r="G28" s="194">
        <f>F28</f>
        <v>540</v>
      </c>
      <c r="H28" s="1"/>
    </row>
    <row r="32" spans="1:8">
      <c r="A32" s="148" t="s">
        <v>47</v>
      </c>
      <c r="B32" s="146" t="s">
        <v>46</v>
      </c>
      <c r="C32" s="146"/>
      <c r="D32" s="146"/>
      <c r="E32" s="146"/>
    </row>
    <row r="33" spans="1:8">
      <c r="A33" s="146" t="s">
        <v>45</v>
      </c>
      <c r="B33" s="147">
        <v>2800000</v>
      </c>
      <c r="C33" s="146" t="s">
        <v>44</v>
      </c>
      <c r="D33" s="146" t="s">
        <v>43</v>
      </c>
      <c r="E33" s="146"/>
    </row>
    <row r="34" spans="1:8">
      <c r="A34" s="146"/>
      <c r="B34" s="146"/>
      <c r="C34" s="146"/>
      <c r="D34" s="146"/>
      <c r="E34" s="146"/>
    </row>
    <row r="35" spans="1:8">
      <c r="A35" s="148" t="s">
        <v>61</v>
      </c>
      <c r="B35" s="146"/>
      <c r="C35" s="146" t="s">
        <v>46</v>
      </c>
      <c r="D35" s="146"/>
      <c r="E35" s="146"/>
    </row>
    <row r="36" spans="1:8">
      <c r="A36" s="146" t="s">
        <v>60</v>
      </c>
      <c r="B36" s="146">
        <v>599</v>
      </c>
      <c r="C36" s="146" t="s">
        <v>58</v>
      </c>
      <c r="D36" s="146"/>
      <c r="E36" s="146"/>
    </row>
    <row r="37" spans="1:8">
      <c r="A37" s="146" t="s">
        <v>59</v>
      </c>
      <c r="B37" s="146">
        <v>95</v>
      </c>
      <c r="C37" s="146" t="s">
        <v>58</v>
      </c>
      <c r="D37" s="146"/>
      <c r="E37" s="146"/>
    </row>
    <row r="38" spans="1:8">
      <c r="A38" s="146" t="s">
        <v>57</v>
      </c>
      <c r="B38" s="146">
        <v>10</v>
      </c>
      <c r="C38" s="146" t="s">
        <v>55</v>
      </c>
      <c r="D38" s="146"/>
      <c r="E38" s="146"/>
    </row>
    <row r="39" spans="1:8">
      <c r="A39" s="146" t="s">
        <v>56</v>
      </c>
      <c r="B39" s="146">
        <v>5</v>
      </c>
      <c r="C39" s="146" t="s">
        <v>55</v>
      </c>
      <c r="D39" s="146" t="s">
        <v>54</v>
      </c>
      <c r="E39" s="146"/>
      <c r="F39" s="1"/>
      <c r="G39" s="1"/>
      <c r="H39" s="1"/>
    </row>
    <row r="40" spans="1:8">
      <c r="A40" s="146"/>
      <c r="B40" s="146"/>
      <c r="C40" s="146"/>
      <c r="D40" s="146"/>
      <c r="E40" s="146"/>
      <c r="F40" s="1"/>
      <c r="G40" s="1"/>
      <c r="H40" s="1"/>
    </row>
    <row r="41" spans="1:8">
      <c r="A41" s="146" t="s">
        <v>73</v>
      </c>
      <c r="B41" s="150">
        <f>((25+87+26)*1000000)/(35)</f>
        <v>3942857.1428571427</v>
      </c>
      <c r="C41" s="146" t="s">
        <v>46</v>
      </c>
      <c r="D41" s="146"/>
      <c r="E41" s="146"/>
      <c r="F41" s="1"/>
      <c r="G41" s="1"/>
      <c r="H41" s="1"/>
    </row>
    <row r="42" spans="1:8">
      <c r="A42" s="146" t="s">
        <v>53</v>
      </c>
      <c r="B42" s="149">
        <f>B41/$B$33</f>
        <v>1.4081632653061225</v>
      </c>
      <c r="C42" s="146" t="s">
        <v>48</v>
      </c>
      <c r="D42" s="146"/>
      <c r="E42" s="146"/>
      <c r="F42" s="1"/>
      <c r="G42" s="1"/>
      <c r="H42" s="1"/>
    </row>
    <row r="43" spans="1:8">
      <c r="A43" s="146" t="s">
        <v>52</v>
      </c>
      <c r="B43" s="149">
        <f>B42</f>
        <v>1.4081632653061225</v>
      </c>
      <c r="C43" s="146" t="s">
        <v>48</v>
      </c>
      <c r="D43" s="146"/>
      <c r="E43" s="146"/>
      <c r="F43" s="1"/>
      <c r="G43" s="1"/>
      <c r="H43" s="1"/>
    </row>
    <row r="44" spans="1:8">
      <c r="A44" s="148" t="s">
        <v>51</v>
      </c>
      <c r="B44" s="149">
        <f>B43*0.8</f>
        <v>1.1265306122448979</v>
      </c>
      <c r="C44" s="146" t="s">
        <v>48</v>
      </c>
      <c r="D44" s="146"/>
      <c r="E44" s="146"/>
      <c r="F44" s="1"/>
      <c r="G44" s="1"/>
      <c r="H44" s="1"/>
    </row>
    <row r="45" spans="1:8">
      <c r="A45" s="148" t="s">
        <v>50</v>
      </c>
      <c r="B45" s="149">
        <f>B43</f>
        <v>1.4081632653061225</v>
      </c>
      <c r="C45" s="146" t="s">
        <v>48</v>
      </c>
      <c r="D45" s="146"/>
      <c r="E45" s="146"/>
      <c r="F45" s="1"/>
      <c r="G45" s="1"/>
      <c r="H45" s="1"/>
    </row>
    <row r="46" spans="1:8">
      <c r="A46" s="148" t="s">
        <v>49</v>
      </c>
      <c r="B46" s="149">
        <f>B43*1.2</f>
        <v>1.689795918367347</v>
      </c>
      <c r="C46" s="146" t="s">
        <v>48</v>
      </c>
      <c r="D46" s="146"/>
      <c r="E46" s="146"/>
      <c r="F46" s="1"/>
      <c r="G46" s="1"/>
      <c r="H46" s="1"/>
    </row>
    <row r="47" spans="1:8" ht="30">
      <c r="A47" s="155" t="s">
        <v>72</v>
      </c>
      <c r="B47" s="147">
        <f>B36*B44*B38</f>
        <v>6747.9183673469388</v>
      </c>
      <c r="C47" s="146" t="s">
        <v>63</v>
      </c>
      <c r="D47" s="146"/>
      <c r="E47" s="146"/>
      <c r="F47" s="1"/>
      <c r="G47" s="1"/>
      <c r="H47" s="1"/>
    </row>
    <row r="48" spans="1:8" ht="30">
      <c r="A48" s="155" t="s">
        <v>71</v>
      </c>
      <c r="B48" s="147">
        <f>B36*B45*B38</f>
        <v>8434.8979591836742</v>
      </c>
      <c r="C48" s="146" t="s">
        <v>63</v>
      </c>
      <c r="D48" s="146"/>
      <c r="E48" s="146"/>
      <c r="F48" s="1"/>
      <c r="G48" s="1"/>
      <c r="H48" s="1"/>
    </row>
    <row r="49" spans="1:8" ht="30">
      <c r="A49" s="155" t="s">
        <v>70</v>
      </c>
      <c r="B49" s="147">
        <f>B37*B46*B39</f>
        <v>802.65306122448976</v>
      </c>
      <c r="C49" s="146" t="s">
        <v>63</v>
      </c>
      <c r="D49" s="146"/>
      <c r="E49" s="146"/>
      <c r="F49" s="1"/>
      <c r="G49" s="1"/>
      <c r="H49" s="1"/>
    </row>
  </sheetData>
  <mergeCells count="6">
    <mergeCell ref="A1:F1"/>
    <mergeCell ref="A4:B4"/>
    <mergeCell ref="A5:A11"/>
    <mergeCell ref="A18:A19"/>
    <mergeCell ref="A13:B13"/>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Sheet6">
    <tabColor rgb="FFFFC000"/>
  </sheetPr>
  <dimension ref="A1:Z115"/>
  <sheetViews>
    <sheetView showGridLines="0" tabSelected="1" topLeftCell="A80" zoomScale="70" zoomScaleNormal="70" workbookViewId="0">
      <selection activeCell="E92" sqref="E92"/>
    </sheetView>
  </sheetViews>
  <sheetFormatPr defaultColWidth="23.28515625" defaultRowHeight="14.25"/>
  <cols>
    <col min="1" max="1" width="67.140625" style="14" bestFit="1" customWidth="1"/>
    <col min="2" max="2" width="23.28515625" style="14" customWidth="1"/>
    <col min="3" max="3" width="0.7109375" style="14" customWidth="1"/>
    <col min="4" max="4" width="15.28515625" style="14" bestFit="1" customWidth="1"/>
    <col min="5" max="5" width="16.42578125" style="14" customWidth="1"/>
    <col min="6" max="6" width="15.85546875" style="14" bestFit="1" customWidth="1"/>
    <col min="7" max="10" width="16.7109375" style="14" bestFit="1" customWidth="1"/>
    <col min="11" max="23" width="15.28515625" style="14" customWidth="1"/>
    <col min="24" max="25" width="13.85546875" style="14" customWidth="1"/>
    <col min="26" max="16384" width="23.28515625" style="14"/>
  </cols>
  <sheetData>
    <row r="1" spans="1:26" ht="17.649999999999999" customHeight="1">
      <c r="A1" s="120" t="s">
        <v>42</v>
      </c>
      <c r="B1" s="604" t="s">
        <v>181</v>
      </c>
      <c r="C1" s="604"/>
      <c r="D1" s="604"/>
      <c r="E1" s="604"/>
      <c r="F1" s="604"/>
      <c r="G1" s="604"/>
      <c r="H1" s="604"/>
      <c r="I1" s="604"/>
      <c r="J1" s="604"/>
      <c r="K1" s="119"/>
      <c r="L1" s="119"/>
      <c r="M1" s="119"/>
      <c r="N1" s="119"/>
      <c r="O1" s="119"/>
      <c r="P1" s="119"/>
      <c r="Q1" s="119"/>
      <c r="R1" s="119"/>
      <c r="S1" s="119"/>
      <c r="T1" s="119"/>
      <c r="U1" s="119"/>
      <c r="V1" s="119"/>
      <c r="W1" s="119"/>
      <c r="X1" s="119"/>
      <c r="Y1" s="118"/>
      <c r="Z1" s="15"/>
    </row>
    <row r="2" spans="1:26" ht="15" customHeight="1" thickBot="1">
      <c r="A2" s="117"/>
      <c r="B2" s="116"/>
      <c r="C2" s="116"/>
      <c r="D2" s="116"/>
      <c r="E2" s="116"/>
      <c r="F2" s="116"/>
      <c r="G2" s="116"/>
      <c r="H2" s="116"/>
      <c r="I2" s="116"/>
      <c r="J2" s="116"/>
      <c r="K2" s="116"/>
      <c r="L2" s="116"/>
      <c r="M2" s="116"/>
      <c r="N2" s="116"/>
      <c r="O2" s="116"/>
      <c r="P2" s="116"/>
      <c r="Q2" s="116"/>
      <c r="R2" s="116"/>
      <c r="S2" s="116"/>
      <c r="T2" s="116"/>
      <c r="U2" s="116"/>
      <c r="V2" s="116"/>
      <c r="W2" s="116"/>
      <c r="X2" s="116"/>
      <c r="Y2" s="115"/>
      <c r="Z2" s="15"/>
    </row>
    <row r="3" spans="1:26" ht="15" thickBot="1">
      <c r="A3" s="114"/>
      <c r="B3" s="113"/>
      <c r="C3" s="113"/>
      <c r="D3" s="38"/>
      <c r="E3" s="145"/>
      <c r="F3" s="145"/>
      <c r="G3" s="145"/>
      <c r="H3" s="145"/>
      <c r="I3" s="145"/>
      <c r="J3" s="145"/>
      <c r="K3" s="145"/>
      <c r="L3" s="145"/>
      <c r="M3" s="145"/>
      <c r="N3" s="145"/>
      <c r="O3" s="145"/>
      <c r="P3" s="145"/>
      <c r="Q3" s="145"/>
      <c r="R3" s="145"/>
      <c r="S3" s="145"/>
      <c r="T3" s="145"/>
      <c r="U3" s="145"/>
      <c r="V3" s="145"/>
      <c r="W3" s="145"/>
      <c r="X3" s="144"/>
      <c r="Y3" s="143"/>
      <c r="Z3" s="15"/>
    </row>
    <row r="4" spans="1:26" ht="27" customHeight="1" thickBot="1">
      <c r="A4" s="576" t="s">
        <v>182</v>
      </c>
      <c r="B4" s="577"/>
      <c r="C4" s="577"/>
      <c r="D4" s="577"/>
      <c r="E4" s="577"/>
      <c r="F4" s="577"/>
      <c r="G4" s="577"/>
      <c r="H4" s="577"/>
      <c r="I4" s="577"/>
      <c r="J4" s="577"/>
      <c r="K4" s="577"/>
      <c r="L4" s="577"/>
      <c r="M4" s="577"/>
      <c r="N4" s="577"/>
      <c r="O4" s="577"/>
      <c r="P4" s="577"/>
      <c r="Q4" s="577"/>
      <c r="R4" s="577"/>
      <c r="S4" s="577"/>
      <c r="T4" s="577"/>
      <c r="U4" s="577"/>
      <c r="V4" s="577"/>
      <c r="W4" s="577"/>
      <c r="X4" s="577"/>
      <c r="Y4" s="578"/>
      <c r="Z4" s="15"/>
    </row>
    <row r="5" spans="1:26">
      <c r="A5" s="61"/>
      <c r="B5" s="68" t="s">
        <v>23</v>
      </c>
      <c r="C5" s="67" t="s">
        <v>22</v>
      </c>
      <c r="D5" s="112" t="s">
        <v>21</v>
      </c>
      <c r="E5" s="67">
        <v>2023</v>
      </c>
      <c r="F5" s="67">
        <v>2024</v>
      </c>
      <c r="G5" s="67">
        <v>2025</v>
      </c>
      <c r="H5" s="67">
        <v>2026</v>
      </c>
      <c r="I5" s="67">
        <v>2027</v>
      </c>
      <c r="J5" s="67">
        <v>2028</v>
      </c>
      <c r="K5" s="67">
        <v>2029</v>
      </c>
      <c r="L5" s="67">
        <v>2030</v>
      </c>
      <c r="M5" s="67">
        <v>2031</v>
      </c>
      <c r="N5" s="67">
        <v>2032</v>
      </c>
      <c r="O5" s="67">
        <v>2033</v>
      </c>
      <c r="P5" s="67">
        <v>2034</v>
      </c>
      <c r="Q5" s="67">
        <v>2035</v>
      </c>
      <c r="R5" s="67">
        <v>2036</v>
      </c>
      <c r="S5" s="67">
        <v>2037</v>
      </c>
      <c r="T5" s="67">
        <v>2038</v>
      </c>
      <c r="U5" s="67">
        <v>2039</v>
      </c>
      <c r="V5" s="67">
        <v>2040</v>
      </c>
      <c r="W5" s="67">
        <v>2041</v>
      </c>
      <c r="X5" s="67">
        <v>2042</v>
      </c>
      <c r="Y5" s="66">
        <v>2043</v>
      </c>
      <c r="Z5" s="15"/>
    </row>
    <row r="6" spans="1:26" ht="15" thickBot="1">
      <c r="A6" s="53" t="s">
        <v>31</v>
      </c>
      <c r="B6" s="58"/>
      <c r="C6" s="58"/>
      <c r="D6" s="67"/>
      <c r="E6" s="111"/>
      <c r="F6" s="111"/>
      <c r="G6" s="111"/>
      <c r="H6" s="111"/>
      <c r="I6" s="111"/>
      <c r="J6" s="111"/>
      <c r="K6" s="111"/>
      <c r="L6" s="111"/>
      <c r="M6" s="111"/>
      <c r="N6" s="111"/>
      <c r="O6" s="111"/>
      <c r="P6" s="111"/>
      <c r="Q6" s="111"/>
      <c r="R6" s="111"/>
      <c r="S6" s="111"/>
      <c r="T6" s="111"/>
      <c r="U6" s="111"/>
      <c r="V6" s="111"/>
      <c r="W6" s="111"/>
      <c r="X6" s="110"/>
      <c r="Y6" s="109"/>
      <c r="Z6" s="15"/>
    </row>
    <row r="7" spans="1:26" ht="15" thickBot="1">
      <c r="A7" s="85" t="s">
        <v>98</v>
      </c>
      <c r="B7" s="51" t="s">
        <v>96</v>
      </c>
      <c r="C7" s="58"/>
      <c r="D7" s="47" t="s">
        <v>0</v>
      </c>
      <c r="E7" s="346">
        <f>Calculations!C18</f>
        <v>37.44</v>
      </c>
      <c r="F7" s="346">
        <f>E7</f>
        <v>37.44</v>
      </c>
      <c r="G7" s="346">
        <f t="shared" ref="G7:Y8" si="0">F7</f>
        <v>37.44</v>
      </c>
      <c r="H7" s="346">
        <f t="shared" si="0"/>
        <v>37.44</v>
      </c>
      <c r="I7" s="346">
        <f t="shared" si="0"/>
        <v>37.44</v>
      </c>
      <c r="J7" s="346">
        <f t="shared" si="0"/>
        <v>37.44</v>
      </c>
      <c r="K7" s="346">
        <f t="shared" si="0"/>
        <v>37.44</v>
      </c>
      <c r="L7" s="346">
        <f t="shared" si="0"/>
        <v>37.44</v>
      </c>
      <c r="M7" s="346">
        <f t="shared" si="0"/>
        <v>37.44</v>
      </c>
      <c r="N7" s="346">
        <f t="shared" si="0"/>
        <v>37.44</v>
      </c>
      <c r="O7" s="346">
        <f t="shared" si="0"/>
        <v>37.44</v>
      </c>
      <c r="P7" s="346">
        <f t="shared" si="0"/>
        <v>37.44</v>
      </c>
      <c r="Q7" s="346">
        <f t="shared" si="0"/>
        <v>37.44</v>
      </c>
      <c r="R7" s="346">
        <f t="shared" si="0"/>
        <v>37.44</v>
      </c>
      <c r="S7" s="346">
        <f t="shared" si="0"/>
        <v>37.44</v>
      </c>
      <c r="T7" s="346">
        <f t="shared" si="0"/>
        <v>37.44</v>
      </c>
      <c r="U7" s="346">
        <f t="shared" si="0"/>
        <v>37.44</v>
      </c>
      <c r="V7" s="346">
        <f t="shared" si="0"/>
        <v>37.44</v>
      </c>
      <c r="W7" s="346">
        <f t="shared" si="0"/>
        <v>37.44</v>
      </c>
      <c r="X7" s="346">
        <f t="shared" si="0"/>
        <v>37.44</v>
      </c>
      <c r="Y7" s="346">
        <f t="shared" si="0"/>
        <v>37.44</v>
      </c>
      <c r="Z7" s="15"/>
    </row>
    <row r="8" spans="1:26" ht="26.25" thickBot="1">
      <c r="A8" s="195" t="s">
        <v>104</v>
      </c>
      <c r="B8" s="51" t="s">
        <v>96</v>
      </c>
      <c r="C8" s="55"/>
      <c r="D8" s="47" t="s">
        <v>0</v>
      </c>
      <c r="E8" s="346"/>
      <c r="F8" s="346">
        <f>Calculations!C14+Calculations!C15</f>
        <v>15182.816326530614</v>
      </c>
      <c r="G8" s="346">
        <f>F8</f>
        <v>15182.816326530614</v>
      </c>
      <c r="H8" s="346">
        <f t="shared" si="0"/>
        <v>15182.816326530614</v>
      </c>
      <c r="I8" s="346">
        <f t="shared" si="0"/>
        <v>15182.816326530614</v>
      </c>
      <c r="J8" s="346">
        <f t="shared" si="0"/>
        <v>15182.816326530614</v>
      </c>
      <c r="K8" s="346">
        <f t="shared" si="0"/>
        <v>15182.816326530614</v>
      </c>
      <c r="L8" s="346">
        <f t="shared" si="0"/>
        <v>15182.816326530614</v>
      </c>
      <c r="M8" s="346">
        <f t="shared" si="0"/>
        <v>15182.816326530614</v>
      </c>
      <c r="N8" s="346">
        <f t="shared" si="0"/>
        <v>15182.816326530614</v>
      </c>
      <c r="O8" s="346">
        <f t="shared" si="0"/>
        <v>15182.816326530614</v>
      </c>
      <c r="P8" s="346">
        <f t="shared" si="0"/>
        <v>15182.816326530614</v>
      </c>
      <c r="Q8" s="346">
        <f t="shared" si="0"/>
        <v>15182.816326530614</v>
      </c>
      <c r="R8" s="346">
        <f t="shared" si="0"/>
        <v>15182.816326530614</v>
      </c>
      <c r="S8" s="346">
        <f t="shared" si="0"/>
        <v>15182.816326530614</v>
      </c>
      <c r="T8" s="346">
        <f t="shared" si="0"/>
        <v>15182.816326530614</v>
      </c>
      <c r="U8" s="346">
        <f t="shared" si="0"/>
        <v>15182.816326530614</v>
      </c>
      <c r="V8" s="346">
        <f t="shared" si="0"/>
        <v>15182.816326530614</v>
      </c>
      <c r="W8" s="346">
        <f t="shared" si="0"/>
        <v>15182.816326530614</v>
      </c>
      <c r="X8" s="346">
        <f t="shared" si="0"/>
        <v>15182.816326530614</v>
      </c>
      <c r="Y8" s="346">
        <f t="shared" si="0"/>
        <v>15182.816326530614</v>
      </c>
      <c r="Z8" s="15"/>
    </row>
    <row r="9" spans="1:26" ht="15" thickBot="1">
      <c r="A9" s="99" t="s">
        <v>30</v>
      </c>
      <c r="B9" s="48"/>
      <c r="C9" s="48"/>
      <c r="D9" s="47" t="s">
        <v>0</v>
      </c>
      <c r="E9" s="346">
        <f>SUM(E7:E8)</f>
        <v>37.44</v>
      </c>
      <c r="F9" s="346">
        <f t="shared" ref="F9:Y9" si="1">SUM(F7:F8)</f>
        <v>15220.256326530614</v>
      </c>
      <c r="G9" s="346">
        <f t="shared" si="1"/>
        <v>15220.256326530614</v>
      </c>
      <c r="H9" s="346">
        <f t="shared" si="1"/>
        <v>15220.256326530614</v>
      </c>
      <c r="I9" s="346">
        <f t="shared" si="1"/>
        <v>15220.256326530614</v>
      </c>
      <c r="J9" s="346">
        <f t="shared" si="1"/>
        <v>15220.256326530614</v>
      </c>
      <c r="K9" s="346">
        <f t="shared" si="1"/>
        <v>15220.256326530614</v>
      </c>
      <c r="L9" s="346">
        <f t="shared" si="1"/>
        <v>15220.256326530614</v>
      </c>
      <c r="M9" s="346">
        <f t="shared" si="1"/>
        <v>15220.256326530614</v>
      </c>
      <c r="N9" s="346">
        <f t="shared" si="1"/>
        <v>15220.256326530614</v>
      </c>
      <c r="O9" s="346">
        <f t="shared" si="1"/>
        <v>15220.256326530614</v>
      </c>
      <c r="P9" s="346">
        <f t="shared" si="1"/>
        <v>15220.256326530614</v>
      </c>
      <c r="Q9" s="346">
        <f t="shared" si="1"/>
        <v>15220.256326530614</v>
      </c>
      <c r="R9" s="346">
        <f t="shared" si="1"/>
        <v>15220.256326530614</v>
      </c>
      <c r="S9" s="346">
        <f t="shared" si="1"/>
        <v>15220.256326530614</v>
      </c>
      <c r="T9" s="346">
        <f t="shared" si="1"/>
        <v>15220.256326530614</v>
      </c>
      <c r="U9" s="346">
        <f t="shared" si="1"/>
        <v>15220.256326530614</v>
      </c>
      <c r="V9" s="346">
        <f t="shared" si="1"/>
        <v>15220.256326530614</v>
      </c>
      <c r="W9" s="346">
        <f t="shared" si="1"/>
        <v>15220.256326530614</v>
      </c>
      <c r="X9" s="346">
        <f t="shared" si="1"/>
        <v>15220.256326530614</v>
      </c>
      <c r="Y9" s="346">
        <f t="shared" si="1"/>
        <v>15220.256326530614</v>
      </c>
      <c r="Z9" s="15"/>
    </row>
    <row r="10" spans="1:26" ht="15" thickBot="1">
      <c r="A10" s="53" t="s">
        <v>29</v>
      </c>
      <c r="B10" s="60"/>
      <c r="C10" s="60"/>
      <c r="D10" s="64"/>
      <c r="E10" s="346"/>
      <c r="F10" s="346"/>
      <c r="G10" s="346"/>
      <c r="H10" s="346"/>
      <c r="I10" s="346"/>
      <c r="J10" s="346"/>
      <c r="K10" s="346"/>
      <c r="L10" s="346"/>
      <c r="M10" s="346"/>
      <c r="N10" s="346"/>
      <c r="O10" s="346"/>
      <c r="P10" s="346"/>
      <c r="Q10" s="346"/>
      <c r="R10" s="346"/>
      <c r="S10" s="346"/>
      <c r="T10" s="346"/>
      <c r="U10" s="346"/>
      <c r="V10" s="346"/>
      <c r="W10" s="346"/>
      <c r="X10" s="346"/>
      <c r="Y10" s="346"/>
      <c r="Z10" s="15"/>
    </row>
    <row r="11" spans="1:26" ht="15" thickBot="1">
      <c r="A11" s="85" t="s">
        <v>34</v>
      </c>
      <c r="B11" s="52"/>
      <c r="C11" s="52"/>
      <c r="D11" s="47" t="s">
        <v>0</v>
      </c>
      <c r="E11" s="346">
        <f>Calculations!C5</f>
        <v>2000</v>
      </c>
      <c r="F11" s="346"/>
      <c r="G11" s="346"/>
      <c r="H11" s="346"/>
      <c r="I11" s="346"/>
      <c r="J11" s="346"/>
      <c r="K11" s="346"/>
      <c r="L11" s="346"/>
      <c r="M11" s="346"/>
      <c r="N11" s="346"/>
      <c r="O11" s="346"/>
      <c r="P11" s="346"/>
      <c r="Q11" s="346"/>
      <c r="R11" s="346"/>
      <c r="S11" s="346"/>
      <c r="T11" s="346"/>
      <c r="U11" s="346"/>
      <c r="V11" s="346"/>
      <c r="W11" s="346"/>
      <c r="X11" s="346"/>
      <c r="Y11" s="346"/>
      <c r="Z11" s="15"/>
    </row>
    <row r="12" spans="1:26" ht="15" thickBot="1">
      <c r="A12" s="85" t="s">
        <v>33</v>
      </c>
      <c r="B12" s="52"/>
      <c r="C12" s="52"/>
      <c r="D12" s="47" t="s">
        <v>0</v>
      </c>
      <c r="E12" s="346"/>
      <c r="F12" s="346">
        <f>Calculations!C12</f>
        <v>200</v>
      </c>
      <c r="G12" s="346">
        <f>F12</f>
        <v>200</v>
      </c>
      <c r="H12" s="346">
        <f t="shared" ref="H12:Y12" si="2">G12</f>
        <v>200</v>
      </c>
      <c r="I12" s="346">
        <f t="shared" si="2"/>
        <v>200</v>
      </c>
      <c r="J12" s="346">
        <f t="shared" si="2"/>
        <v>200</v>
      </c>
      <c r="K12" s="346">
        <f t="shared" si="2"/>
        <v>200</v>
      </c>
      <c r="L12" s="346">
        <f t="shared" si="2"/>
        <v>200</v>
      </c>
      <c r="M12" s="346">
        <f t="shared" si="2"/>
        <v>200</v>
      </c>
      <c r="N12" s="346">
        <f t="shared" si="2"/>
        <v>200</v>
      </c>
      <c r="O12" s="346">
        <f t="shared" si="2"/>
        <v>200</v>
      </c>
      <c r="P12" s="346">
        <f t="shared" si="2"/>
        <v>200</v>
      </c>
      <c r="Q12" s="346">
        <f t="shared" si="2"/>
        <v>200</v>
      </c>
      <c r="R12" s="346">
        <f t="shared" si="2"/>
        <v>200</v>
      </c>
      <c r="S12" s="346">
        <f t="shared" si="2"/>
        <v>200</v>
      </c>
      <c r="T12" s="346">
        <f t="shared" si="2"/>
        <v>200</v>
      </c>
      <c r="U12" s="346">
        <f t="shared" si="2"/>
        <v>200</v>
      </c>
      <c r="V12" s="346">
        <f t="shared" si="2"/>
        <v>200</v>
      </c>
      <c r="W12" s="346">
        <f t="shared" si="2"/>
        <v>200</v>
      </c>
      <c r="X12" s="346">
        <f t="shared" si="2"/>
        <v>200</v>
      </c>
      <c r="Y12" s="346">
        <f t="shared" si="2"/>
        <v>200</v>
      </c>
      <c r="Z12" s="15"/>
    </row>
    <row r="13" spans="1:26" ht="15" thickBot="1">
      <c r="A13" s="99" t="s">
        <v>28</v>
      </c>
      <c r="B13" s="48"/>
      <c r="C13" s="48"/>
      <c r="D13" s="47" t="s">
        <v>0</v>
      </c>
      <c r="E13" s="346">
        <f>SUM(E11:E12)</f>
        <v>2000</v>
      </c>
      <c r="F13" s="346">
        <f t="shared" ref="F13:Y13" si="3">SUM(F11:F12)</f>
        <v>200</v>
      </c>
      <c r="G13" s="346">
        <f t="shared" si="3"/>
        <v>200</v>
      </c>
      <c r="H13" s="346">
        <f t="shared" si="3"/>
        <v>200</v>
      </c>
      <c r="I13" s="346">
        <f t="shared" si="3"/>
        <v>200</v>
      </c>
      <c r="J13" s="346">
        <f t="shared" si="3"/>
        <v>200</v>
      </c>
      <c r="K13" s="346">
        <f t="shared" si="3"/>
        <v>200</v>
      </c>
      <c r="L13" s="346">
        <f t="shared" si="3"/>
        <v>200</v>
      </c>
      <c r="M13" s="346">
        <f t="shared" si="3"/>
        <v>200</v>
      </c>
      <c r="N13" s="346">
        <f t="shared" si="3"/>
        <v>200</v>
      </c>
      <c r="O13" s="346">
        <f t="shared" si="3"/>
        <v>200</v>
      </c>
      <c r="P13" s="346">
        <f t="shared" si="3"/>
        <v>200</v>
      </c>
      <c r="Q13" s="346">
        <f t="shared" si="3"/>
        <v>200</v>
      </c>
      <c r="R13" s="346">
        <f t="shared" si="3"/>
        <v>200</v>
      </c>
      <c r="S13" s="346">
        <f t="shared" si="3"/>
        <v>200</v>
      </c>
      <c r="T13" s="346">
        <f t="shared" si="3"/>
        <v>200</v>
      </c>
      <c r="U13" s="346">
        <f t="shared" si="3"/>
        <v>200</v>
      </c>
      <c r="V13" s="346">
        <f t="shared" si="3"/>
        <v>200</v>
      </c>
      <c r="W13" s="346">
        <f t="shared" si="3"/>
        <v>200</v>
      </c>
      <c r="X13" s="346">
        <f t="shared" si="3"/>
        <v>200</v>
      </c>
      <c r="Y13" s="346">
        <f t="shared" si="3"/>
        <v>200</v>
      </c>
      <c r="Z13" s="15"/>
    </row>
    <row r="14" spans="1:26" ht="15" thickBot="1">
      <c r="A14" s="49" t="s">
        <v>27</v>
      </c>
      <c r="B14" s="48"/>
      <c r="C14" s="48"/>
      <c r="D14" s="47" t="s">
        <v>0</v>
      </c>
      <c r="E14" s="346">
        <f t="shared" ref="E14:Y14" si="4">E9-E13</f>
        <v>-1962.56</v>
      </c>
      <c r="F14" s="346">
        <f t="shared" si="4"/>
        <v>15020.256326530614</v>
      </c>
      <c r="G14" s="346">
        <f t="shared" si="4"/>
        <v>15020.256326530614</v>
      </c>
      <c r="H14" s="346">
        <f t="shared" si="4"/>
        <v>15020.256326530614</v>
      </c>
      <c r="I14" s="346">
        <f t="shared" si="4"/>
        <v>15020.256326530614</v>
      </c>
      <c r="J14" s="346">
        <f t="shared" si="4"/>
        <v>15020.256326530614</v>
      </c>
      <c r="K14" s="346">
        <f t="shared" si="4"/>
        <v>15020.256326530614</v>
      </c>
      <c r="L14" s="346">
        <f t="shared" si="4"/>
        <v>15020.256326530614</v>
      </c>
      <c r="M14" s="346">
        <f t="shared" si="4"/>
        <v>15020.256326530614</v>
      </c>
      <c r="N14" s="346">
        <f t="shared" si="4"/>
        <v>15020.256326530614</v>
      </c>
      <c r="O14" s="346">
        <f t="shared" si="4"/>
        <v>15020.256326530614</v>
      </c>
      <c r="P14" s="346">
        <f t="shared" si="4"/>
        <v>15020.256326530614</v>
      </c>
      <c r="Q14" s="346">
        <f t="shared" si="4"/>
        <v>15020.256326530614</v>
      </c>
      <c r="R14" s="346">
        <f t="shared" si="4"/>
        <v>15020.256326530614</v>
      </c>
      <c r="S14" s="346">
        <f t="shared" si="4"/>
        <v>15020.256326530614</v>
      </c>
      <c r="T14" s="346">
        <f t="shared" si="4"/>
        <v>15020.256326530614</v>
      </c>
      <c r="U14" s="346">
        <f t="shared" si="4"/>
        <v>15020.256326530614</v>
      </c>
      <c r="V14" s="346">
        <f t="shared" si="4"/>
        <v>15020.256326530614</v>
      </c>
      <c r="W14" s="346">
        <f t="shared" si="4"/>
        <v>15020.256326530614</v>
      </c>
      <c r="X14" s="346">
        <f t="shared" si="4"/>
        <v>15020.256326530614</v>
      </c>
      <c r="Y14" s="346">
        <f t="shared" si="4"/>
        <v>15020.256326530614</v>
      </c>
      <c r="Z14" s="15"/>
    </row>
    <row r="15" spans="1:26">
      <c r="A15" s="46"/>
      <c r="B15" s="45"/>
      <c r="C15" s="45"/>
      <c r="D15" s="45"/>
      <c r="E15" s="44"/>
      <c r="F15" s="44"/>
      <c r="G15" s="44"/>
      <c r="H15" s="44"/>
      <c r="I15" s="44"/>
      <c r="J15" s="44"/>
      <c r="K15" s="44"/>
      <c r="L15" s="44"/>
      <c r="M15" s="44"/>
      <c r="N15" s="44"/>
      <c r="O15" s="44"/>
      <c r="P15" s="44"/>
      <c r="Q15" s="44"/>
      <c r="R15" s="44"/>
      <c r="S15" s="44"/>
      <c r="T15" s="44"/>
      <c r="U15" s="44"/>
      <c r="V15" s="44"/>
      <c r="W15" s="44"/>
      <c r="X15" s="43"/>
      <c r="Y15" s="42"/>
      <c r="Z15" s="15"/>
    </row>
    <row r="16" spans="1:26" ht="15" thickBot="1">
      <c r="A16" s="74"/>
      <c r="B16" s="73"/>
      <c r="C16" s="73"/>
      <c r="D16" s="108"/>
      <c r="E16" s="107"/>
      <c r="F16" s="107"/>
      <c r="G16" s="107"/>
      <c r="H16" s="107"/>
      <c r="I16" s="107"/>
      <c r="J16" s="107"/>
      <c r="K16" s="107"/>
      <c r="L16" s="107"/>
      <c r="M16" s="107"/>
      <c r="N16" s="107"/>
      <c r="O16" s="107"/>
      <c r="P16" s="107"/>
      <c r="Q16" s="107"/>
      <c r="R16" s="107"/>
      <c r="S16" s="107"/>
      <c r="T16" s="107"/>
      <c r="U16" s="107"/>
      <c r="V16" s="107"/>
      <c r="W16" s="107"/>
      <c r="X16" s="106"/>
      <c r="Y16" s="105"/>
      <c r="Z16" s="15"/>
    </row>
    <row r="17" spans="1:26" ht="15" thickBot="1">
      <c r="A17" s="613" t="s">
        <v>32</v>
      </c>
      <c r="B17" s="614"/>
      <c r="C17" s="614"/>
      <c r="D17" s="615"/>
      <c r="E17" s="79"/>
      <c r="F17" s="77"/>
      <c r="G17" s="77"/>
      <c r="H17" s="77"/>
      <c r="I17" s="77"/>
      <c r="J17" s="77"/>
      <c r="K17" s="77"/>
      <c r="L17" s="77"/>
      <c r="M17" s="77"/>
      <c r="N17" s="77"/>
      <c r="O17" s="77"/>
      <c r="P17" s="77"/>
      <c r="Q17" s="77"/>
      <c r="R17" s="77"/>
      <c r="S17" s="77"/>
      <c r="T17" s="77"/>
      <c r="U17" s="77"/>
      <c r="V17" s="77"/>
      <c r="W17" s="77"/>
      <c r="X17" s="76"/>
      <c r="Y17" s="75"/>
      <c r="Z17" s="15"/>
    </row>
    <row r="18" spans="1:26" ht="15" thickBot="1">
      <c r="A18" s="616" t="s">
        <v>15</v>
      </c>
      <c r="B18" s="617"/>
      <c r="C18" s="618"/>
      <c r="D18" s="30">
        <f>Calculations!B2</f>
        <v>8.5000000000000006E-2</v>
      </c>
      <c r="E18" s="79"/>
      <c r="F18" s="77"/>
      <c r="G18" s="77"/>
      <c r="H18" s="77"/>
      <c r="I18" s="77"/>
      <c r="J18" s="77"/>
      <c r="K18" s="77"/>
      <c r="L18" s="77"/>
      <c r="M18" s="77"/>
      <c r="N18" s="77"/>
      <c r="O18" s="77"/>
      <c r="P18" s="77"/>
      <c r="Q18" s="77"/>
      <c r="R18" s="77"/>
      <c r="S18" s="77"/>
      <c r="T18" s="77"/>
      <c r="U18" s="77"/>
      <c r="V18" s="77"/>
      <c r="W18" s="77"/>
      <c r="X18" s="76"/>
      <c r="Y18" s="75"/>
      <c r="Z18" s="15"/>
    </row>
    <row r="19" spans="1:26" ht="15" thickBot="1">
      <c r="A19" s="605" t="s">
        <v>14</v>
      </c>
      <c r="B19" s="606"/>
      <c r="C19" s="606"/>
      <c r="D19" s="585"/>
      <c r="E19" s="78"/>
      <c r="F19" s="77"/>
      <c r="G19" s="142"/>
      <c r="H19" s="77"/>
      <c r="I19" s="77"/>
      <c r="J19" s="77"/>
      <c r="K19" s="77"/>
      <c r="L19" s="77"/>
      <c r="M19" s="77"/>
      <c r="N19" s="77"/>
      <c r="O19" s="77"/>
      <c r="P19" s="77"/>
      <c r="Q19" s="77"/>
      <c r="R19" s="77"/>
      <c r="S19" s="77"/>
      <c r="T19" s="77"/>
      <c r="U19" s="77"/>
      <c r="V19" s="77"/>
      <c r="W19" s="77"/>
      <c r="X19" s="76"/>
      <c r="Y19" s="75"/>
      <c r="Z19" s="15"/>
    </row>
    <row r="20" spans="1:26">
      <c r="A20" s="607" t="s">
        <v>26</v>
      </c>
      <c r="B20" s="608"/>
      <c r="C20" s="609"/>
      <c r="D20" s="104">
        <f>NPV(D18,E14:Y14)</f>
        <v>129197.40235053391</v>
      </c>
      <c r="E20" s="78" t="s">
        <v>0</v>
      </c>
      <c r="F20" s="77"/>
      <c r="G20" s="77"/>
      <c r="H20" s="77"/>
      <c r="I20" s="77"/>
      <c r="J20" s="77"/>
      <c r="K20" s="77"/>
      <c r="L20" s="77"/>
      <c r="M20" s="77"/>
      <c r="N20" s="77"/>
      <c r="O20" s="77"/>
      <c r="P20" s="77"/>
      <c r="Q20" s="77"/>
      <c r="R20" s="77"/>
      <c r="S20" s="77"/>
      <c r="T20" s="77"/>
      <c r="U20" s="77"/>
      <c r="V20" s="77"/>
      <c r="W20" s="77"/>
      <c r="X20" s="76"/>
      <c r="Y20" s="75"/>
      <c r="Z20" s="15"/>
    </row>
    <row r="21" spans="1:26">
      <c r="A21" s="610" t="s">
        <v>25</v>
      </c>
      <c r="B21" s="611"/>
      <c r="C21" s="612"/>
      <c r="D21" s="103">
        <f>IRR(E14:Y14)</f>
        <v>7.6533998076647931</v>
      </c>
      <c r="E21" s="121" t="s">
        <v>3</v>
      </c>
      <c r="F21" s="72"/>
      <c r="G21" s="72"/>
      <c r="H21" s="72"/>
      <c r="I21" s="72"/>
      <c r="J21" s="72"/>
      <c r="K21" s="72"/>
      <c r="L21" s="72"/>
      <c r="M21" s="72"/>
      <c r="N21" s="72"/>
      <c r="O21" s="72"/>
      <c r="P21" s="72"/>
      <c r="Q21" s="72"/>
      <c r="R21" s="72"/>
      <c r="S21" s="72"/>
      <c r="T21" s="72"/>
      <c r="U21" s="72"/>
      <c r="V21" s="72"/>
      <c r="W21" s="72"/>
      <c r="X21" s="71"/>
      <c r="Y21" s="70"/>
      <c r="Z21" s="15"/>
    </row>
    <row r="22" spans="1:26" ht="15" thickBot="1">
      <c r="A22" s="591" t="s">
        <v>24</v>
      </c>
      <c r="B22" s="592"/>
      <c r="C22" s="593"/>
      <c r="D22" s="25">
        <f>MIRR(E14:Y14,D18,D18)</f>
        <v>0.34407861917998783</v>
      </c>
      <c r="E22" s="78" t="s">
        <v>3</v>
      </c>
      <c r="F22" s="72"/>
      <c r="G22" s="72"/>
      <c r="H22" s="72"/>
      <c r="I22" s="72"/>
      <c r="J22" s="72"/>
      <c r="K22" s="72"/>
      <c r="L22" s="72"/>
      <c r="M22" s="72"/>
      <c r="N22" s="72"/>
      <c r="O22" s="72"/>
      <c r="P22" s="72"/>
      <c r="Q22" s="72"/>
      <c r="R22" s="72"/>
      <c r="S22" s="72"/>
      <c r="T22" s="72"/>
      <c r="U22" s="72"/>
      <c r="V22" s="72"/>
      <c r="W22" s="72"/>
      <c r="X22" s="71"/>
      <c r="Y22" s="70"/>
      <c r="Z22" s="15"/>
    </row>
    <row r="23" spans="1:26" ht="15" thickBot="1">
      <c r="A23" s="102"/>
      <c r="B23" s="101"/>
      <c r="C23" s="101"/>
      <c r="D23" s="73"/>
      <c r="E23" s="72"/>
      <c r="F23" s="72"/>
      <c r="G23" s="72"/>
      <c r="H23" s="72"/>
      <c r="I23" s="72"/>
      <c r="J23" s="72"/>
      <c r="K23" s="72"/>
      <c r="L23" s="72"/>
      <c r="M23" s="72"/>
      <c r="N23" s="72"/>
      <c r="O23" s="72"/>
      <c r="P23" s="72"/>
      <c r="Q23" s="72"/>
      <c r="R23" s="72"/>
      <c r="S23" s="72"/>
      <c r="T23" s="72"/>
      <c r="U23" s="72"/>
      <c r="V23" s="72"/>
      <c r="W23" s="72"/>
      <c r="X23" s="71"/>
      <c r="Y23" s="70"/>
      <c r="Z23" s="15"/>
    </row>
    <row r="24" spans="1:26" ht="27" customHeight="1" thickBot="1">
      <c r="A24" s="576" t="s">
        <v>183</v>
      </c>
      <c r="B24" s="577"/>
      <c r="C24" s="577"/>
      <c r="D24" s="577"/>
      <c r="E24" s="577"/>
      <c r="F24" s="577"/>
      <c r="G24" s="577"/>
      <c r="H24" s="577"/>
      <c r="I24" s="577"/>
      <c r="J24" s="577"/>
      <c r="K24" s="577"/>
      <c r="L24" s="577"/>
      <c r="M24" s="577"/>
      <c r="N24" s="577"/>
      <c r="O24" s="577"/>
      <c r="P24" s="577"/>
      <c r="Q24" s="577"/>
      <c r="R24" s="577"/>
      <c r="S24" s="577"/>
      <c r="T24" s="577"/>
      <c r="U24" s="577"/>
      <c r="V24" s="577"/>
      <c r="W24" s="577"/>
      <c r="X24" s="577"/>
      <c r="Y24" s="578"/>
      <c r="Z24" s="15"/>
    </row>
    <row r="25" spans="1:26" ht="25.9" customHeight="1">
      <c r="A25" s="100"/>
      <c r="B25" s="68" t="s">
        <v>23</v>
      </c>
      <c r="C25" s="67" t="s">
        <v>22</v>
      </c>
      <c r="D25" s="112" t="s">
        <v>21</v>
      </c>
      <c r="E25" s="67">
        <v>2023</v>
      </c>
      <c r="F25" s="67">
        <v>2024</v>
      </c>
      <c r="G25" s="67">
        <v>2025</v>
      </c>
      <c r="H25" s="67">
        <v>2026</v>
      </c>
      <c r="I25" s="67">
        <v>2027</v>
      </c>
      <c r="J25" s="67">
        <v>2028</v>
      </c>
      <c r="K25" s="67">
        <v>2029</v>
      </c>
      <c r="L25" s="67">
        <v>2030</v>
      </c>
      <c r="M25" s="67">
        <v>2031</v>
      </c>
      <c r="N25" s="67">
        <v>2032</v>
      </c>
      <c r="O25" s="67">
        <v>2033</v>
      </c>
      <c r="P25" s="67">
        <v>2034</v>
      </c>
      <c r="Q25" s="67">
        <v>2035</v>
      </c>
      <c r="R25" s="67">
        <v>2036</v>
      </c>
      <c r="S25" s="67">
        <v>2037</v>
      </c>
      <c r="T25" s="67">
        <v>2038</v>
      </c>
      <c r="U25" s="67">
        <v>2039</v>
      </c>
      <c r="V25" s="67">
        <v>2040</v>
      </c>
      <c r="W25" s="67">
        <v>2041</v>
      </c>
      <c r="X25" s="67">
        <v>2042</v>
      </c>
      <c r="Y25" s="66">
        <v>2043</v>
      </c>
      <c r="Z25" s="15"/>
    </row>
    <row r="26" spans="1:26" ht="15" thickBot="1">
      <c r="A26" s="53" t="s">
        <v>31</v>
      </c>
      <c r="B26" s="58"/>
      <c r="C26" s="58"/>
      <c r="D26" s="67"/>
      <c r="E26" s="52"/>
      <c r="F26" s="58"/>
      <c r="G26" s="58"/>
      <c r="H26" s="58"/>
      <c r="I26" s="58"/>
      <c r="J26" s="58"/>
      <c r="K26" s="58"/>
      <c r="L26" s="58"/>
      <c r="M26" s="58"/>
      <c r="N26" s="58"/>
      <c r="O26" s="58"/>
      <c r="P26" s="58"/>
      <c r="Q26" s="58"/>
      <c r="R26" s="58"/>
      <c r="S26" s="58"/>
      <c r="T26" s="58"/>
      <c r="U26" s="58"/>
      <c r="V26" s="58"/>
      <c r="W26" s="58"/>
      <c r="X26" s="57"/>
      <c r="Y26" s="56"/>
      <c r="Z26" s="15"/>
    </row>
    <row r="27" spans="1:26" ht="15" thickBot="1">
      <c r="A27" s="85" t="s">
        <v>98</v>
      </c>
      <c r="B27" s="51" t="s">
        <v>96</v>
      </c>
      <c r="C27" s="55"/>
      <c r="D27" s="47" t="s">
        <v>0</v>
      </c>
      <c r="E27" s="346">
        <f>E7</f>
        <v>37.44</v>
      </c>
      <c r="F27" s="346">
        <f t="shared" ref="F27:Y27" si="5">F7</f>
        <v>37.44</v>
      </c>
      <c r="G27" s="346">
        <f t="shared" si="5"/>
        <v>37.44</v>
      </c>
      <c r="H27" s="346">
        <f t="shared" si="5"/>
        <v>37.44</v>
      </c>
      <c r="I27" s="346">
        <f t="shared" si="5"/>
        <v>37.44</v>
      </c>
      <c r="J27" s="346">
        <f t="shared" si="5"/>
        <v>37.44</v>
      </c>
      <c r="K27" s="346">
        <f t="shared" si="5"/>
        <v>37.44</v>
      </c>
      <c r="L27" s="346">
        <f t="shared" si="5"/>
        <v>37.44</v>
      </c>
      <c r="M27" s="346">
        <f t="shared" si="5"/>
        <v>37.44</v>
      </c>
      <c r="N27" s="346">
        <f t="shared" si="5"/>
        <v>37.44</v>
      </c>
      <c r="O27" s="346">
        <f t="shared" si="5"/>
        <v>37.44</v>
      </c>
      <c r="P27" s="346">
        <f t="shared" si="5"/>
        <v>37.44</v>
      </c>
      <c r="Q27" s="346">
        <f t="shared" si="5"/>
        <v>37.44</v>
      </c>
      <c r="R27" s="346">
        <f t="shared" si="5"/>
        <v>37.44</v>
      </c>
      <c r="S27" s="346">
        <f t="shared" si="5"/>
        <v>37.44</v>
      </c>
      <c r="T27" s="346">
        <f t="shared" si="5"/>
        <v>37.44</v>
      </c>
      <c r="U27" s="346">
        <f t="shared" si="5"/>
        <v>37.44</v>
      </c>
      <c r="V27" s="346">
        <f t="shared" si="5"/>
        <v>37.44</v>
      </c>
      <c r="W27" s="346">
        <f t="shared" si="5"/>
        <v>37.44</v>
      </c>
      <c r="X27" s="346">
        <f t="shared" si="5"/>
        <v>37.44</v>
      </c>
      <c r="Y27" s="346">
        <f t="shared" si="5"/>
        <v>37.44</v>
      </c>
      <c r="Z27" s="15"/>
    </row>
    <row r="28" spans="1:26" ht="26.25" thickBot="1">
      <c r="A28" s="195" t="s">
        <v>104</v>
      </c>
      <c r="B28" s="51" t="s">
        <v>96</v>
      </c>
      <c r="C28" s="55"/>
      <c r="D28" s="47" t="s">
        <v>0</v>
      </c>
      <c r="E28" s="346">
        <f>E8</f>
        <v>0</v>
      </c>
      <c r="F28" s="346">
        <f t="shared" ref="F28:Y28" si="6">F8</f>
        <v>15182.816326530614</v>
      </c>
      <c r="G28" s="346">
        <f t="shared" si="6"/>
        <v>15182.816326530614</v>
      </c>
      <c r="H28" s="346">
        <f t="shared" si="6"/>
        <v>15182.816326530614</v>
      </c>
      <c r="I28" s="346">
        <f t="shared" si="6"/>
        <v>15182.816326530614</v>
      </c>
      <c r="J28" s="346">
        <f t="shared" si="6"/>
        <v>15182.816326530614</v>
      </c>
      <c r="K28" s="346">
        <f t="shared" si="6"/>
        <v>15182.816326530614</v>
      </c>
      <c r="L28" s="346">
        <f t="shared" si="6"/>
        <v>15182.816326530614</v>
      </c>
      <c r="M28" s="346">
        <f t="shared" si="6"/>
        <v>15182.816326530614</v>
      </c>
      <c r="N28" s="346">
        <f t="shared" si="6"/>
        <v>15182.816326530614</v>
      </c>
      <c r="O28" s="346">
        <f t="shared" si="6"/>
        <v>15182.816326530614</v>
      </c>
      <c r="P28" s="346">
        <f t="shared" si="6"/>
        <v>15182.816326530614</v>
      </c>
      <c r="Q28" s="346">
        <f t="shared" si="6"/>
        <v>15182.816326530614</v>
      </c>
      <c r="R28" s="346">
        <f t="shared" si="6"/>
        <v>15182.816326530614</v>
      </c>
      <c r="S28" s="346">
        <f t="shared" si="6"/>
        <v>15182.816326530614</v>
      </c>
      <c r="T28" s="346">
        <f t="shared" si="6"/>
        <v>15182.816326530614</v>
      </c>
      <c r="U28" s="346">
        <f t="shared" si="6"/>
        <v>15182.816326530614</v>
      </c>
      <c r="V28" s="346">
        <f t="shared" si="6"/>
        <v>15182.816326530614</v>
      </c>
      <c r="W28" s="346">
        <f t="shared" si="6"/>
        <v>15182.816326530614</v>
      </c>
      <c r="X28" s="346">
        <f t="shared" si="6"/>
        <v>15182.816326530614</v>
      </c>
      <c r="Y28" s="346">
        <f t="shared" si="6"/>
        <v>15182.816326530614</v>
      </c>
      <c r="Z28" s="15"/>
    </row>
    <row r="29" spans="1:26" ht="15" thickBot="1">
      <c r="A29" s="99" t="s">
        <v>30</v>
      </c>
      <c r="B29" s="48"/>
      <c r="C29" s="48"/>
      <c r="D29" s="47" t="s">
        <v>0</v>
      </c>
      <c r="E29" s="346">
        <f>SUM(E27:E28)</f>
        <v>37.44</v>
      </c>
      <c r="F29" s="346">
        <f t="shared" ref="F29:Y29" si="7">SUM(F27:F28)</f>
        <v>15220.256326530614</v>
      </c>
      <c r="G29" s="346">
        <f t="shared" si="7"/>
        <v>15220.256326530614</v>
      </c>
      <c r="H29" s="346">
        <f t="shared" si="7"/>
        <v>15220.256326530614</v>
      </c>
      <c r="I29" s="346">
        <f t="shared" si="7"/>
        <v>15220.256326530614</v>
      </c>
      <c r="J29" s="346">
        <f t="shared" si="7"/>
        <v>15220.256326530614</v>
      </c>
      <c r="K29" s="346">
        <f t="shared" si="7"/>
        <v>15220.256326530614</v>
      </c>
      <c r="L29" s="346">
        <f t="shared" si="7"/>
        <v>15220.256326530614</v>
      </c>
      <c r="M29" s="346">
        <f t="shared" si="7"/>
        <v>15220.256326530614</v>
      </c>
      <c r="N29" s="346">
        <f t="shared" si="7"/>
        <v>15220.256326530614</v>
      </c>
      <c r="O29" s="346">
        <f t="shared" si="7"/>
        <v>15220.256326530614</v>
      </c>
      <c r="P29" s="346">
        <f t="shared" si="7"/>
        <v>15220.256326530614</v>
      </c>
      <c r="Q29" s="346">
        <f t="shared" si="7"/>
        <v>15220.256326530614</v>
      </c>
      <c r="R29" s="346">
        <f t="shared" si="7"/>
        <v>15220.256326530614</v>
      </c>
      <c r="S29" s="346">
        <f t="shared" si="7"/>
        <v>15220.256326530614</v>
      </c>
      <c r="T29" s="346">
        <f t="shared" si="7"/>
        <v>15220.256326530614</v>
      </c>
      <c r="U29" s="346">
        <f t="shared" si="7"/>
        <v>15220.256326530614</v>
      </c>
      <c r="V29" s="346">
        <f t="shared" si="7"/>
        <v>15220.256326530614</v>
      </c>
      <c r="W29" s="346">
        <f t="shared" si="7"/>
        <v>15220.256326530614</v>
      </c>
      <c r="X29" s="346">
        <f t="shared" si="7"/>
        <v>15220.256326530614</v>
      </c>
      <c r="Y29" s="346">
        <f t="shared" si="7"/>
        <v>15220.256326530614</v>
      </c>
      <c r="Z29" s="15"/>
    </row>
    <row r="30" spans="1:26" ht="15" thickBot="1">
      <c r="A30" s="53" t="s">
        <v>29</v>
      </c>
      <c r="B30" s="60"/>
      <c r="C30" s="60"/>
      <c r="D30" s="64"/>
      <c r="E30" s="346"/>
      <c r="F30" s="346"/>
      <c r="G30" s="346"/>
      <c r="H30" s="346"/>
      <c r="I30" s="346"/>
      <c r="J30" s="346"/>
      <c r="K30" s="346"/>
      <c r="L30" s="346"/>
      <c r="M30" s="346"/>
      <c r="N30" s="346"/>
      <c r="O30" s="346"/>
      <c r="P30" s="346"/>
      <c r="Q30" s="346"/>
      <c r="R30" s="346"/>
      <c r="S30" s="346"/>
      <c r="T30" s="346"/>
      <c r="U30" s="346"/>
      <c r="V30" s="346"/>
      <c r="W30" s="346"/>
      <c r="X30" s="346"/>
      <c r="Y30" s="346"/>
      <c r="Z30" s="15"/>
    </row>
    <row r="31" spans="1:26" ht="15" thickBot="1">
      <c r="A31" s="85" t="s">
        <v>34</v>
      </c>
      <c r="B31" s="52"/>
      <c r="C31" s="52"/>
      <c r="D31" s="47" t="s">
        <v>0</v>
      </c>
      <c r="E31" s="346">
        <f>E11</f>
        <v>2000</v>
      </c>
      <c r="F31" s="346">
        <f t="shared" ref="F31:Y31" si="8">F11</f>
        <v>0</v>
      </c>
      <c r="G31" s="346">
        <f t="shared" si="8"/>
        <v>0</v>
      </c>
      <c r="H31" s="346">
        <f t="shared" si="8"/>
        <v>0</v>
      </c>
      <c r="I31" s="346">
        <f t="shared" si="8"/>
        <v>0</v>
      </c>
      <c r="J31" s="346">
        <f t="shared" si="8"/>
        <v>0</v>
      </c>
      <c r="K31" s="346">
        <f t="shared" si="8"/>
        <v>0</v>
      </c>
      <c r="L31" s="346">
        <f t="shared" si="8"/>
        <v>0</v>
      </c>
      <c r="M31" s="346">
        <f t="shared" si="8"/>
        <v>0</v>
      </c>
      <c r="N31" s="346">
        <f t="shared" si="8"/>
        <v>0</v>
      </c>
      <c r="O31" s="346">
        <f t="shared" si="8"/>
        <v>0</v>
      </c>
      <c r="P31" s="346">
        <f t="shared" si="8"/>
        <v>0</v>
      </c>
      <c r="Q31" s="346">
        <f t="shared" si="8"/>
        <v>0</v>
      </c>
      <c r="R31" s="346">
        <f t="shared" si="8"/>
        <v>0</v>
      </c>
      <c r="S31" s="346">
        <f t="shared" si="8"/>
        <v>0</v>
      </c>
      <c r="T31" s="346">
        <f t="shared" si="8"/>
        <v>0</v>
      </c>
      <c r="U31" s="346">
        <f t="shared" si="8"/>
        <v>0</v>
      </c>
      <c r="V31" s="346">
        <f t="shared" si="8"/>
        <v>0</v>
      </c>
      <c r="W31" s="346">
        <f t="shared" si="8"/>
        <v>0</v>
      </c>
      <c r="X31" s="346">
        <f t="shared" si="8"/>
        <v>0</v>
      </c>
      <c r="Y31" s="346">
        <f t="shared" si="8"/>
        <v>0</v>
      </c>
      <c r="Z31" s="15"/>
    </row>
    <row r="32" spans="1:26" ht="15" thickBot="1">
      <c r="A32" s="85" t="s">
        <v>33</v>
      </c>
      <c r="B32" s="52"/>
      <c r="C32" s="52"/>
      <c r="D32" s="47" t="s">
        <v>0</v>
      </c>
      <c r="E32" s="346">
        <f>E12</f>
        <v>0</v>
      </c>
      <c r="F32" s="346">
        <f t="shared" ref="F32:Y32" si="9">F12</f>
        <v>200</v>
      </c>
      <c r="G32" s="346">
        <f t="shared" si="9"/>
        <v>200</v>
      </c>
      <c r="H32" s="346">
        <f t="shared" si="9"/>
        <v>200</v>
      </c>
      <c r="I32" s="346">
        <f t="shared" si="9"/>
        <v>200</v>
      </c>
      <c r="J32" s="346">
        <f t="shared" si="9"/>
        <v>200</v>
      </c>
      <c r="K32" s="346">
        <f t="shared" si="9"/>
        <v>200</v>
      </c>
      <c r="L32" s="346">
        <f t="shared" si="9"/>
        <v>200</v>
      </c>
      <c r="M32" s="346">
        <f t="shared" si="9"/>
        <v>200</v>
      </c>
      <c r="N32" s="346">
        <f t="shared" si="9"/>
        <v>200</v>
      </c>
      <c r="O32" s="346">
        <f t="shared" si="9"/>
        <v>200</v>
      </c>
      <c r="P32" s="346">
        <f t="shared" si="9"/>
        <v>200</v>
      </c>
      <c r="Q32" s="346">
        <f t="shared" si="9"/>
        <v>200</v>
      </c>
      <c r="R32" s="346">
        <f t="shared" si="9"/>
        <v>200</v>
      </c>
      <c r="S32" s="346">
        <f t="shared" si="9"/>
        <v>200</v>
      </c>
      <c r="T32" s="346">
        <f t="shared" si="9"/>
        <v>200</v>
      </c>
      <c r="U32" s="346">
        <f t="shared" si="9"/>
        <v>200</v>
      </c>
      <c r="V32" s="346">
        <f t="shared" si="9"/>
        <v>200</v>
      </c>
      <c r="W32" s="346">
        <f t="shared" si="9"/>
        <v>200</v>
      </c>
      <c r="X32" s="346">
        <f t="shared" si="9"/>
        <v>200</v>
      </c>
      <c r="Y32" s="346">
        <f t="shared" si="9"/>
        <v>200</v>
      </c>
      <c r="Z32" s="15"/>
    </row>
    <row r="33" spans="1:26" ht="15" thickBot="1">
      <c r="A33" s="99" t="s">
        <v>28</v>
      </c>
      <c r="B33" s="48"/>
      <c r="C33" s="48"/>
      <c r="D33" s="47" t="s">
        <v>0</v>
      </c>
      <c r="E33" s="346">
        <f t="shared" ref="E33:Y33" si="10">SUM(E31:E32)</f>
        <v>2000</v>
      </c>
      <c r="F33" s="346">
        <f t="shared" si="10"/>
        <v>200</v>
      </c>
      <c r="G33" s="346">
        <f t="shared" si="10"/>
        <v>200</v>
      </c>
      <c r="H33" s="346">
        <f t="shared" si="10"/>
        <v>200</v>
      </c>
      <c r="I33" s="346">
        <f t="shared" si="10"/>
        <v>200</v>
      </c>
      <c r="J33" s="346">
        <f t="shared" si="10"/>
        <v>200</v>
      </c>
      <c r="K33" s="346">
        <f t="shared" si="10"/>
        <v>200</v>
      </c>
      <c r="L33" s="346">
        <f t="shared" si="10"/>
        <v>200</v>
      </c>
      <c r="M33" s="346">
        <f t="shared" si="10"/>
        <v>200</v>
      </c>
      <c r="N33" s="346">
        <f t="shared" si="10"/>
        <v>200</v>
      </c>
      <c r="O33" s="346">
        <f t="shared" si="10"/>
        <v>200</v>
      </c>
      <c r="P33" s="346">
        <f t="shared" si="10"/>
        <v>200</v>
      </c>
      <c r="Q33" s="346">
        <f t="shared" si="10"/>
        <v>200</v>
      </c>
      <c r="R33" s="346">
        <f t="shared" si="10"/>
        <v>200</v>
      </c>
      <c r="S33" s="346">
        <f t="shared" si="10"/>
        <v>200</v>
      </c>
      <c r="T33" s="346">
        <f t="shared" si="10"/>
        <v>200</v>
      </c>
      <c r="U33" s="346">
        <f t="shared" si="10"/>
        <v>200</v>
      </c>
      <c r="V33" s="346">
        <f t="shared" si="10"/>
        <v>200</v>
      </c>
      <c r="W33" s="346">
        <f t="shared" si="10"/>
        <v>200</v>
      </c>
      <c r="X33" s="346">
        <f t="shared" si="10"/>
        <v>200</v>
      </c>
      <c r="Y33" s="346">
        <f t="shared" si="10"/>
        <v>200</v>
      </c>
      <c r="Z33" s="15"/>
    </row>
    <row r="34" spans="1:26" ht="15" thickBot="1">
      <c r="A34" s="49" t="s">
        <v>27</v>
      </c>
      <c r="B34" s="48"/>
      <c r="C34" s="48"/>
      <c r="D34" s="47" t="s">
        <v>0</v>
      </c>
      <c r="E34" s="346">
        <f t="shared" ref="E34:Y34" si="11">E29-E33</f>
        <v>-1962.56</v>
      </c>
      <c r="F34" s="346">
        <f t="shared" si="11"/>
        <v>15020.256326530614</v>
      </c>
      <c r="G34" s="346">
        <f t="shared" si="11"/>
        <v>15020.256326530614</v>
      </c>
      <c r="H34" s="346">
        <f t="shared" si="11"/>
        <v>15020.256326530614</v>
      </c>
      <c r="I34" s="346">
        <f t="shared" si="11"/>
        <v>15020.256326530614</v>
      </c>
      <c r="J34" s="346">
        <f t="shared" si="11"/>
        <v>15020.256326530614</v>
      </c>
      <c r="K34" s="346">
        <f t="shared" si="11"/>
        <v>15020.256326530614</v>
      </c>
      <c r="L34" s="346">
        <f t="shared" si="11"/>
        <v>15020.256326530614</v>
      </c>
      <c r="M34" s="346">
        <f t="shared" si="11"/>
        <v>15020.256326530614</v>
      </c>
      <c r="N34" s="346">
        <f t="shared" si="11"/>
        <v>15020.256326530614</v>
      </c>
      <c r="O34" s="346">
        <f t="shared" si="11"/>
        <v>15020.256326530614</v>
      </c>
      <c r="P34" s="346">
        <f t="shared" si="11"/>
        <v>15020.256326530614</v>
      </c>
      <c r="Q34" s="346">
        <f t="shared" si="11"/>
        <v>15020.256326530614</v>
      </c>
      <c r="R34" s="346">
        <f t="shared" si="11"/>
        <v>15020.256326530614</v>
      </c>
      <c r="S34" s="346">
        <f t="shared" si="11"/>
        <v>15020.256326530614</v>
      </c>
      <c r="T34" s="346">
        <f t="shared" si="11"/>
        <v>15020.256326530614</v>
      </c>
      <c r="U34" s="346">
        <f t="shared" si="11"/>
        <v>15020.256326530614</v>
      </c>
      <c r="V34" s="346">
        <f t="shared" si="11"/>
        <v>15020.256326530614</v>
      </c>
      <c r="W34" s="346">
        <f t="shared" si="11"/>
        <v>15020.256326530614</v>
      </c>
      <c r="X34" s="346">
        <f t="shared" si="11"/>
        <v>15020.256326530614</v>
      </c>
      <c r="Y34" s="346">
        <f t="shared" si="11"/>
        <v>15020.256326530614</v>
      </c>
      <c r="Z34" s="15"/>
    </row>
    <row r="35" spans="1:26" ht="15" thickBot="1">
      <c r="A35" s="98"/>
      <c r="B35" s="97"/>
      <c r="C35" s="97"/>
      <c r="D35" s="97"/>
      <c r="E35" s="141"/>
      <c r="F35" s="141"/>
      <c r="G35" s="141"/>
      <c r="H35" s="141"/>
      <c r="I35" s="96"/>
      <c r="J35" s="96"/>
      <c r="K35" s="96"/>
      <c r="L35" s="96"/>
      <c r="M35" s="96"/>
      <c r="N35" s="96"/>
      <c r="O35" s="96"/>
      <c r="P35" s="96"/>
      <c r="Q35" s="96"/>
      <c r="R35" s="96"/>
      <c r="S35" s="96"/>
      <c r="T35" s="96"/>
      <c r="U35" s="96"/>
      <c r="V35" s="96"/>
      <c r="W35" s="96"/>
      <c r="X35" s="95"/>
      <c r="Y35" s="94"/>
      <c r="Z35" s="15"/>
    </row>
    <row r="36" spans="1:26" ht="15" thickBot="1">
      <c r="A36" s="579" t="s">
        <v>41</v>
      </c>
      <c r="B36" s="580"/>
      <c r="C36" s="580"/>
      <c r="D36" s="581"/>
      <c r="E36" s="34"/>
      <c r="F36" s="93"/>
      <c r="G36" s="93"/>
      <c r="H36" s="93"/>
      <c r="I36" s="93"/>
      <c r="J36" s="93"/>
      <c r="K36" s="93"/>
      <c r="L36" s="93"/>
      <c r="M36" s="93"/>
      <c r="N36" s="93"/>
      <c r="O36" s="93"/>
      <c r="P36" s="93"/>
      <c r="Q36" s="93"/>
      <c r="R36" s="93"/>
      <c r="S36" s="93"/>
      <c r="T36" s="93"/>
      <c r="U36" s="93"/>
      <c r="V36" s="93"/>
      <c r="W36" s="93"/>
      <c r="X36" s="92"/>
      <c r="Y36" s="91"/>
      <c r="Z36" s="15"/>
    </row>
    <row r="37" spans="1:26" ht="15" thickBot="1">
      <c r="A37" s="582" t="s">
        <v>15</v>
      </c>
      <c r="B37" s="583"/>
      <c r="C37" s="584"/>
      <c r="D37" s="30">
        <f>D18</f>
        <v>8.5000000000000006E-2</v>
      </c>
      <c r="E37" s="89"/>
      <c r="F37" s="88"/>
      <c r="G37" s="88"/>
      <c r="H37" s="88"/>
      <c r="I37" s="88"/>
      <c r="J37" s="88"/>
      <c r="K37" s="88"/>
      <c r="L37" s="88"/>
      <c r="M37" s="88"/>
      <c r="N37" s="88"/>
      <c r="O37" s="88"/>
      <c r="P37" s="88"/>
      <c r="Q37" s="88"/>
      <c r="R37" s="88"/>
      <c r="S37" s="88"/>
      <c r="T37" s="88"/>
      <c r="U37" s="88"/>
      <c r="V37" s="88"/>
      <c r="W37" s="88"/>
      <c r="X37" s="87"/>
      <c r="Y37" s="86"/>
      <c r="Z37" s="15"/>
    </row>
    <row r="38" spans="1:26" ht="15" thickBot="1">
      <c r="A38" s="582" t="s">
        <v>14</v>
      </c>
      <c r="B38" s="583"/>
      <c r="C38" s="583"/>
      <c r="D38" s="585"/>
      <c r="E38" s="29"/>
      <c r="F38" s="88"/>
      <c r="G38" s="88"/>
      <c r="H38" s="88"/>
      <c r="I38" s="88"/>
      <c r="J38" s="88"/>
      <c r="K38" s="88"/>
      <c r="L38" s="88"/>
      <c r="M38" s="88"/>
      <c r="N38" s="88"/>
      <c r="O38" s="88"/>
      <c r="P38" s="88"/>
      <c r="Q38" s="88"/>
      <c r="R38" s="88"/>
      <c r="S38" s="88"/>
      <c r="T38" s="88"/>
      <c r="U38" s="88"/>
      <c r="V38" s="88"/>
      <c r="W38" s="88"/>
      <c r="X38" s="87"/>
      <c r="Y38" s="86"/>
      <c r="Z38" s="15"/>
    </row>
    <row r="39" spans="1:26" ht="15" thickBot="1">
      <c r="A39" s="586" t="s">
        <v>26</v>
      </c>
      <c r="B39" s="587"/>
      <c r="C39" s="587"/>
      <c r="D39" s="28">
        <f>NPV(D37,E34:Y34)</f>
        <v>129197.40235053391</v>
      </c>
      <c r="E39" s="24" t="s">
        <v>0</v>
      </c>
      <c r="F39" s="88"/>
      <c r="G39" s="88"/>
      <c r="H39" s="88"/>
      <c r="I39" s="88"/>
      <c r="J39" s="88"/>
      <c r="K39" s="88"/>
      <c r="L39" s="88"/>
      <c r="M39" s="88"/>
      <c r="N39" s="88"/>
      <c r="O39" s="88"/>
      <c r="P39" s="88"/>
      <c r="Q39" s="88"/>
      <c r="R39" s="88"/>
      <c r="S39" s="88"/>
      <c r="T39" s="88"/>
      <c r="U39" s="88"/>
      <c r="V39" s="88"/>
      <c r="W39" s="88"/>
      <c r="X39" s="87"/>
      <c r="Y39" s="86"/>
      <c r="Z39" s="15"/>
    </row>
    <row r="40" spans="1:26" ht="15" thickBot="1">
      <c r="A40" s="588" t="s">
        <v>25</v>
      </c>
      <c r="B40" s="589"/>
      <c r="C40" s="590"/>
      <c r="D40" s="27">
        <f>IRR(E34:Y34)</f>
        <v>7.6533998076647931</v>
      </c>
      <c r="E40" s="29" t="s">
        <v>3</v>
      </c>
      <c r="F40" s="88"/>
      <c r="G40" s="88"/>
      <c r="H40" s="88"/>
      <c r="I40" s="88"/>
      <c r="J40" s="88"/>
      <c r="K40" s="88"/>
      <c r="L40" s="88"/>
      <c r="M40" s="88"/>
      <c r="N40" s="88"/>
      <c r="O40" s="88"/>
      <c r="P40" s="88"/>
      <c r="Q40" s="88"/>
      <c r="R40" s="88"/>
      <c r="S40" s="88"/>
      <c r="T40" s="88"/>
      <c r="U40" s="88"/>
      <c r="V40" s="88"/>
      <c r="W40" s="88"/>
      <c r="X40" s="87"/>
      <c r="Y40" s="86"/>
      <c r="Z40" s="15"/>
    </row>
    <row r="41" spans="1:26" s="132" customFormat="1" ht="15" thickBot="1">
      <c r="A41" s="591" t="s">
        <v>24</v>
      </c>
      <c r="B41" s="592"/>
      <c r="C41" s="593"/>
      <c r="D41" s="25">
        <f>MIRR(E34:Y34,D37,D37)</f>
        <v>0.34407861917998783</v>
      </c>
      <c r="E41" s="135" t="s">
        <v>3</v>
      </c>
      <c r="F41" s="127"/>
      <c r="G41" s="127"/>
      <c r="H41" s="127"/>
      <c r="I41" s="127"/>
      <c r="J41" s="127"/>
      <c r="K41" s="127"/>
      <c r="L41" s="127"/>
      <c r="M41" s="127"/>
      <c r="N41" s="127"/>
      <c r="O41" s="127"/>
      <c r="P41" s="127"/>
      <c r="Q41" s="127"/>
      <c r="R41" s="127"/>
      <c r="S41" s="127"/>
      <c r="T41" s="127"/>
      <c r="U41" s="127"/>
      <c r="V41" s="127"/>
      <c r="W41" s="127"/>
      <c r="X41" s="134"/>
      <c r="Y41" s="126"/>
      <c r="Z41" s="133"/>
    </row>
    <row r="42" spans="1:26" s="124" customFormat="1" ht="15" thickBot="1">
      <c r="A42" s="131"/>
      <c r="B42" s="130"/>
      <c r="C42" s="130"/>
      <c r="D42" s="93"/>
      <c r="E42" s="88"/>
      <c r="F42" s="88"/>
      <c r="G42" s="88"/>
      <c r="H42" s="88"/>
      <c r="I42" s="88"/>
      <c r="J42" s="88"/>
      <c r="K42" s="88"/>
      <c r="L42" s="88"/>
      <c r="M42" s="88"/>
      <c r="N42" s="88"/>
      <c r="O42" s="88"/>
      <c r="P42" s="88"/>
      <c r="Q42" s="88"/>
      <c r="R42" s="88"/>
      <c r="S42" s="88"/>
      <c r="T42" s="88"/>
      <c r="U42" s="88"/>
      <c r="V42" s="88"/>
      <c r="W42" s="88"/>
      <c r="X42" s="88"/>
      <c r="Y42" s="86"/>
      <c r="Z42" s="125"/>
    </row>
    <row r="43" spans="1:26" ht="27" customHeight="1" thickBot="1">
      <c r="A43" s="576" t="s">
        <v>40</v>
      </c>
      <c r="B43" s="577"/>
      <c r="C43" s="577"/>
      <c r="D43" s="577"/>
      <c r="E43" s="577"/>
      <c r="F43" s="577"/>
      <c r="G43" s="577"/>
      <c r="H43" s="577"/>
      <c r="I43" s="577"/>
      <c r="J43" s="577"/>
      <c r="K43" s="577"/>
      <c r="L43" s="577"/>
      <c r="M43" s="577"/>
      <c r="N43" s="577"/>
      <c r="O43" s="577"/>
      <c r="P43" s="577"/>
      <c r="Q43" s="577"/>
      <c r="R43" s="577"/>
      <c r="S43" s="577"/>
      <c r="T43" s="577"/>
      <c r="U43" s="577"/>
      <c r="V43" s="577"/>
      <c r="W43" s="577"/>
      <c r="X43" s="577"/>
      <c r="Y43" s="578"/>
      <c r="Z43" s="15"/>
    </row>
    <row r="44" spans="1:26" ht="25.9" customHeight="1">
      <c r="A44" s="100"/>
      <c r="B44" s="68" t="s">
        <v>23</v>
      </c>
      <c r="C44" s="67" t="s">
        <v>22</v>
      </c>
      <c r="D44" s="112" t="s">
        <v>21</v>
      </c>
      <c r="E44" s="67">
        <v>2023</v>
      </c>
      <c r="F44" s="67">
        <v>2024</v>
      </c>
      <c r="G44" s="67">
        <v>2025</v>
      </c>
      <c r="H44" s="67">
        <v>2026</v>
      </c>
      <c r="I44" s="67">
        <v>2027</v>
      </c>
      <c r="J44" s="67">
        <v>2028</v>
      </c>
      <c r="K44" s="67">
        <v>2029</v>
      </c>
      <c r="L44" s="67">
        <v>2030</v>
      </c>
      <c r="M44" s="67">
        <v>2031</v>
      </c>
      <c r="N44" s="67">
        <v>2032</v>
      </c>
      <c r="O44" s="67">
        <v>2033</v>
      </c>
      <c r="P44" s="67">
        <v>2034</v>
      </c>
      <c r="Q44" s="67">
        <v>2035</v>
      </c>
      <c r="R44" s="67">
        <v>2036</v>
      </c>
      <c r="S44" s="67">
        <v>2037</v>
      </c>
      <c r="T44" s="67">
        <v>2038</v>
      </c>
      <c r="U44" s="67">
        <v>2039</v>
      </c>
      <c r="V44" s="67">
        <v>2040</v>
      </c>
      <c r="W44" s="67">
        <v>2041</v>
      </c>
      <c r="X44" s="67">
        <v>2042</v>
      </c>
      <c r="Y44" s="66">
        <v>2043</v>
      </c>
      <c r="Z44" s="15"/>
    </row>
    <row r="45" spans="1:26">
      <c r="A45" s="61" t="s">
        <v>105</v>
      </c>
      <c r="B45" s="65"/>
      <c r="C45" s="64"/>
      <c r="D45" s="64"/>
      <c r="E45" s="196">
        <f>Calculations!B28</f>
        <v>108</v>
      </c>
      <c r="F45" s="196">
        <f>Calculations!C28</f>
        <v>216</v>
      </c>
      <c r="G45" s="196">
        <f>Calculations!D28</f>
        <v>324</v>
      </c>
      <c r="H45" s="196">
        <f>Calculations!E28</f>
        <v>432</v>
      </c>
      <c r="I45" s="196">
        <f>Calculations!F28</f>
        <v>540</v>
      </c>
      <c r="J45" s="196">
        <f>Calculations!G28</f>
        <v>540</v>
      </c>
      <c r="K45" s="196">
        <f>J45</f>
        <v>540</v>
      </c>
      <c r="L45" s="196">
        <f t="shared" ref="L45:Y45" si="12">K45</f>
        <v>540</v>
      </c>
      <c r="M45" s="196">
        <f t="shared" si="12"/>
        <v>540</v>
      </c>
      <c r="N45" s="196">
        <f t="shared" si="12"/>
        <v>540</v>
      </c>
      <c r="O45" s="196">
        <f t="shared" si="12"/>
        <v>540</v>
      </c>
      <c r="P45" s="196">
        <f t="shared" si="12"/>
        <v>540</v>
      </c>
      <c r="Q45" s="196">
        <f t="shared" si="12"/>
        <v>540</v>
      </c>
      <c r="R45" s="196">
        <f t="shared" si="12"/>
        <v>540</v>
      </c>
      <c r="S45" s="196">
        <f t="shared" si="12"/>
        <v>540</v>
      </c>
      <c r="T45" s="196">
        <f t="shared" si="12"/>
        <v>540</v>
      </c>
      <c r="U45" s="196">
        <f t="shared" si="12"/>
        <v>540</v>
      </c>
      <c r="V45" s="196">
        <f t="shared" si="12"/>
        <v>540</v>
      </c>
      <c r="W45" s="196">
        <f t="shared" si="12"/>
        <v>540</v>
      </c>
      <c r="X45" s="196">
        <f t="shared" si="12"/>
        <v>540</v>
      </c>
      <c r="Y45" s="196">
        <f t="shared" si="12"/>
        <v>540</v>
      </c>
      <c r="Z45" s="15"/>
    </row>
    <row r="46" spans="1:26" ht="15" thickBot="1">
      <c r="A46" s="53" t="s">
        <v>31</v>
      </c>
      <c r="B46" s="58"/>
      <c r="C46" s="58"/>
      <c r="D46" s="67"/>
      <c r="E46" s="52"/>
      <c r="F46" s="58"/>
      <c r="G46" s="58"/>
      <c r="H46" s="58"/>
      <c r="I46" s="58"/>
      <c r="J46" s="58"/>
      <c r="K46" s="58"/>
      <c r="L46" s="58"/>
      <c r="M46" s="58"/>
      <c r="N46" s="58"/>
      <c r="O46" s="58"/>
      <c r="P46" s="58"/>
      <c r="Q46" s="58"/>
      <c r="R46" s="58"/>
      <c r="S46" s="58"/>
      <c r="T46" s="58"/>
      <c r="U46" s="58"/>
      <c r="V46" s="58"/>
      <c r="W46" s="58"/>
      <c r="X46" s="57"/>
      <c r="Y46" s="56"/>
      <c r="Z46" s="15"/>
    </row>
    <row r="47" spans="1:26" ht="15" thickBot="1">
      <c r="A47" s="85" t="s">
        <v>98</v>
      </c>
      <c r="B47" s="51" t="s">
        <v>96</v>
      </c>
      <c r="C47" s="55"/>
      <c r="D47" s="47" t="s">
        <v>0</v>
      </c>
      <c r="E47" s="346">
        <f>E27*E45</f>
        <v>4043.5199999999995</v>
      </c>
      <c r="F47" s="346">
        <f t="shared" ref="F47:Y47" si="13">F27*F45</f>
        <v>8087.0399999999991</v>
      </c>
      <c r="G47" s="346">
        <f t="shared" si="13"/>
        <v>12130.56</v>
      </c>
      <c r="H47" s="346">
        <f t="shared" si="13"/>
        <v>16174.079999999998</v>
      </c>
      <c r="I47" s="346">
        <f t="shared" si="13"/>
        <v>20217.599999999999</v>
      </c>
      <c r="J47" s="346">
        <f t="shared" si="13"/>
        <v>20217.599999999999</v>
      </c>
      <c r="K47" s="346">
        <f t="shared" si="13"/>
        <v>20217.599999999999</v>
      </c>
      <c r="L47" s="346">
        <f t="shared" si="13"/>
        <v>20217.599999999999</v>
      </c>
      <c r="M47" s="346">
        <f t="shared" si="13"/>
        <v>20217.599999999999</v>
      </c>
      <c r="N47" s="346">
        <f t="shared" si="13"/>
        <v>20217.599999999999</v>
      </c>
      <c r="O47" s="346">
        <f t="shared" si="13"/>
        <v>20217.599999999999</v>
      </c>
      <c r="P47" s="346">
        <f t="shared" si="13"/>
        <v>20217.599999999999</v>
      </c>
      <c r="Q47" s="346">
        <f t="shared" si="13"/>
        <v>20217.599999999999</v>
      </c>
      <c r="R47" s="346">
        <f t="shared" si="13"/>
        <v>20217.599999999999</v>
      </c>
      <c r="S47" s="346">
        <f t="shared" si="13"/>
        <v>20217.599999999999</v>
      </c>
      <c r="T47" s="346">
        <f t="shared" si="13"/>
        <v>20217.599999999999</v>
      </c>
      <c r="U47" s="346">
        <f t="shared" si="13"/>
        <v>20217.599999999999</v>
      </c>
      <c r="V47" s="346">
        <f t="shared" si="13"/>
        <v>20217.599999999999</v>
      </c>
      <c r="W47" s="346">
        <f t="shared" si="13"/>
        <v>20217.599999999999</v>
      </c>
      <c r="X47" s="346">
        <f t="shared" si="13"/>
        <v>20217.599999999999</v>
      </c>
      <c r="Y47" s="346">
        <f t="shared" si="13"/>
        <v>20217.599999999999</v>
      </c>
      <c r="Z47" s="15"/>
    </row>
    <row r="48" spans="1:26" ht="15.75" thickBot="1">
      <c r="A48" s="85" t="s">
        <v>97</v>
      </c>
      <c r="B48" s="51" t="s">
        <v>64</v>
      </c>
      <c r="C48" s="55"/>
      <c r="D48" s="47" t="s">
        <v>0</v>
      </c>
      <c r="E48" s="346">
        <f>E28*E45</f>
        <v>0</v>
      </c>
      <c r="F48" s="346">
        <f>F28*F45</f>
        <v>3279488.3265306125</v>
      </c>
      <c r="G48" s="346">
        <f t="shared" ref="G48:Y48" si="14">G28*G45</f>
        <v>4919232.4897959186</v>
      </c>
      <c r="H48" s="346">
        <f t="shared" si="14"/>
        <v>6558976.6530612251</v>
      </c>
      <c r="I48" s="346">
        <f t="shared" si="14"/>
        <v>8198720.8163265316</v>
      </c>
      <c r="J48" s="346">
        <f t="shared" si="14"/>
        <v>8198720.8163265316</v>
      </c>
      <c r="K48" s="346">
        <f t="shared" si="14"/>
        <v>8198720.8163265316</v>
      </c>
      <c r="L48" s="346">
        <f t="shared" si="14"/>
        <v>8198720.8163265316</v>
      </c>
      <c r="M48" s="346">
        <f t="shared" si="14"/>
        <v>8198720.8163265316</v>
      </c>
      <c r="N48" s="346">
        <f t="shared" si="14"/>
        <v>8198720.8163265316</v>
      </c>
      <c r="O48" s="346">
        <f t="shared" si="14"/>
        <v>8198720.8163265316</v>
      </c>
      <c r="P48" s="346">
        <f t="shared" si="14"/>
        <v>8198720.8163265316</v>
      </c>
      <c r="Q48" s="346">
        <f t="shared" si="14"/>
        <v>8198720.8163265316</v>
      </c>
      <c r="R48" s="346">
        <f t="shared" si="14"/>
        <v>8198720.8163265316</v>
      </c>
      <c r="S48" s="346">
        <f t="shared" si="14"/>
        <v>8198720.8163265316</v>
      </c>
      <c r="T48" s="346">
        <f t="shared" si="14"/>
        <v>8198720.8163265316</v>
      </c>
      <c r="U48" s="346">
        <f t="shared" si="14"/>
        <v>8198720.8163265316</v>
      </c>
      <c r="V48" s="346">
        <f t="shared" si="14"/>
        <v>8198720.8163265316</v>
      </c>
      <c r="W48" s="346">
        <f t="shared" si="14"/>
        <v>8198720.8163265316</v>
      </c>
      <c r="X48" s="346">
        <f t="shared" si="14"/>
        <v>8198720.8163265316</v>
      </c>
      <c r="Y48" s="346">
        <f t="shared" si="14"/>
        <v>8198720.8163265316</v>
      </c>
      <c r="Z48" s="15"/>
    </row>
    <row r="49" spans="1:26" ht="15" thickBot="1">
      <c r="A49" s="99" t="s">
        <v>30</v>
      </c>
      <c r="B49" s="48"/>
      <c r="C49" s="48"/>
      <c r="D49" s="47" t="s">
        <v>0</v>
      </c>
      <c r="E49" s="346">
        <f>SUM(E47:E48)</f>
        <v>4043.5199999999995</v>
      </c>
      <c r="F49" s="346">
        <f t="shared" ref="F49:Y49" si="15">SUM(F47:F48)</f>
        <v>3287575.3665306126</v>
      </c>
      <c r="G49" s="346">
        <f t="shared" si="15"/>
        <v>4931363.0497959182</v>
      </c>
      <c r="H49" s="346">
        <f t="shared" si="15"/>
        <v>6575150.7330612252</v>
      </c>
      <c r="I49" s="346">
        <f t="shared" si="15"/>
        <v>8218938.4163265312</v>
      </c>
      <c r="J49" s="346">
        <f t="shared" si="15"/>
        <v>8218938.4163265312</v>
      </c>
      <c r="K49" s="346">
        <f t="shared" si="15"/>
        <v>8218938.4163265312</v>
      </c>
      <c r="L49" s="346">
        <f t="shared" si="15"/>
        <v>8218938.4163265312</v>
      </c>
      <c r="M49" s="346">
        <f t="shared" si="15"/>
        <v>8218938.4163265312</v>
      </c>
      <c r="N49" s="346">
        <f t="shared" si="15"/>
        <v>8218938.4163265312</v>
      </c>
      <c r="O49" s="346">
        <f t="shared" si="15"/>
        <v>8218938.4163265312</v>
      </c>
      <c r="P49" s="346">
        <f t="shared" si="15"/>
        <v>8218938.4163265312</v>
      </c>
      <c r="Q49" s="346">
        <f t="shared" si="15"/>
        <v>8218938.4163265312</v>
      </c>
      <c r="R49" s="346">
        <f t="shared" si="15"/>
        <v>8218938.4163265312</v>
      </c>
      <c r="S49" s="346">
        <f t="shared" si="15"/>
        <v>8218938.4163265312</v>
      </c>
      <c r="T49" s="346">
        <f t="shared" si="15"/>
        <v>8218938.4163265312</v>
      </c>
      <c r="U49" s="346">
        <f t="shared" si="15"/>
        <v>8218938.4163265312</v>
      </c>
      <c r="V49" s="346">
        <f t="shared" si="15"/>
        <v>8218938.4163265312</v>
      </c>
      <c r="W49" s="346">
        <f t="shared" si="15"/>
        <v>8218938.4163265312</v>
      </c>
      <c r="X49" s="346">
        <f t="shared" si="15"/>
        <v>8218938.4163265312</v>
      </c>
      <c r="Y49" s="346">
        <f t="shared" si="15"/>
        <v>8218938.4163265312</v>
      </c>
      <c r="Z49" s="15"/>
    </row>
    <row r="50" spans="1:26" ht="15" thickBot="1">
      <c r="A50" s="53" t="s">
        <v>29</v>
      </c>
      <c r="B50" s="60"/>
      <c r="C50" s="60"/>
      <c r="D50" s="64"/>
      <c r="E50" s="346"/>
      <c r="F50" s="346"/>
      <c r="G50" s="346"/>
      <c r="H50" s="346"/>
      <c r="I50" s="346"/>
      <c r="J50" s="346"/>
      <c r="K50" s="346"/>
      <c r="L50" s="346"/>
      <c r="M50" s="346"/>
      <c r="N50" s="346"/>
      <c r="O50" s="346"/>
      <c r="P50" s="346"/>
      <c r="Q50" s="346"/>
      <c r="R50" s="346"/>
      <c r="S50" s="346"/>
      <c r="T50" s="346"/>
      <c r="U50" s="346"/>
      <c r="V50" s="346"/>
      <c r="W50" s="346"/>
      <c r="X50" s="346"/>
      <c r="Y50" s="346"/>
      <c r="Z50" s="15"/>
    </row>
    <row r="51" spans="1:26" ht="15" thickBot="1">
      <c r="A51" s="85" t="s">
        <v>34</v>
      </c>
      <c r="B51" s="52"/>
      <c r="C51" s="52"/>
      <c r="D51" s="47" t="s">
        <v>0</v>
      </c>
      <c r="E51" s="346">
        <f>E31*E45</f>
        <v>216000</v>
      </c>
      <c r="F51" s="346">
        <f>E51</f>
        <v>216000</v>
      </c>
      <c r="G51" s="346">
        <f t="shared" ref="G51:I51" si="16">F51</f>
        <v>216000</v>
      </c>
      <c r="H51" s="346">
        <f t="shared" si="16"/>
        <v>216000</v>
      </c>
      <c r="I51" s="346">
        <f t="shared" si="16"/>
        <v>216000</v>
      </c>
      <c r="J51" s="346"/>
      <c r="K51" s="346"/>
      <c r="L51" s="346"/>
      <c r="M51" s="346"/>
      <c r="N51" s="346"/>
      <c r="O51" s="346"/>
      <c r="P51" s="346"/>
      <c r="Q51" s="346"/>
      <c r="R51" s="346"/>
      <c r="S51" s="346"/>
      <c r="T51" s="346"/>
      <c r="U51" s="346"/>
      <c r="V51" s="346"/>
      <c r="W51" s="346"/>
      <c r="X51" s="346"/>
      <c r="Y51" s="346"/>
      <c r="Z51" s="15"/>
    </row>
    <row r="52" spans="1:26" ht="15" thickBot="1">
      <c r="A52" s="85" t="s">
        <v>33</v>
      </c>
      <c r="B52" s="52"/>
      <c r="C52" s="52"/>
      <c r="D52" s="47" t="s">
        <v>0</v>
      </c>
      <c r="E52" s="346">
        <f>E32*E45</f>
        <v>0</v>
      </c>
      <c r="F52" s="346">
        <f t="shared" ref="F52:Y52" si="17">F32*F45</f>
        <v>43200</v>
      </c>
      <c r="G52" s="346">
        <f t="shared" si="17"/>
        <v>64800</v>
      </c>
      <c r="H52" s="346">
        <f t="shared" si="17"/>
        <v>86400</v>
      </c>
      <c r="I52" s="346">
        <f t="shared" si="17"/>
        <v>108000</v>
      </c>
      <c r="J52" s="346">
        <f t="shared" si="17"/>
        <v>108000</v>
      </c>
      <c r="K52" s="346">
        <f t="shared" si="17"/>
        <v>108000</v>
      </c>
      <c r="L52" s="346">
        <f t="shared" si="17"/>
        <v>108000</v>
      </c>
      <c r="M52" s="346">
        <f t="shared" si="17"/>
        <v>108000</v>
      </c>
      <c r="N52" s="346">
        <f t="shared" si="17"/>
        <v>108000</v>
      </c>
      <c r="O52" s="346">
        <f t="shared" si="17"/>
        <v>108000</v>
      </c>
      <c r="P52" s="346">
        <f t="shared" si="17"/>
        <v>108000</v>
      </c>
      <c r="Q52" s="346">
        <f t="shared" si="17"/>
        <v>108000</v>
      </c>
      <c r="R52" s="346">
        <f t="shared" si="17"/>
        <v>108000</v>
      </c>
      <c r="S52" s="346">
        <f t="shared" si="17"/>
        <v>108000</v>
      </c>
      <c r="T52" s="346">
        <f t="shared" si="17"/>
        <v>108000</v>
      </c>
      <c r="U52" s="346">
        <f t="shared" si="17"/>
        <v>108000</v>
      </c>
      <c r="V52" s="346">
        <f t="shared" si="17"/>
        <v>108000</v>
      </c>
      <c r="W52" s="346">
        <f t="shared" si="17"/>
        <v>108000</v>
      </c>
      <c r="X52" s="346">
        <f t="shared" si="17"/>
        <v>108000</v>
      </c>
      <c r="Y52" s="346">
        <f t="shared" si="17"/>
        <v>108000</v>
      </c>
      <c r="Z52" s="15"/>
    </row>
    <row r="53" spans="1:26" ht="15" thickBot="1">
      <c r="A53" s="99" t="s">
        <v>28</v>
      </c>
      <c r="B53" s="48"/>
      <c r="C53" s="48"/>
      <c r="D53" s="47" t="s">
        <v>0</v>
      </c>
      <c r="E53" s="346">
        <f>SUM(E51:E52)</f>
        <v>216000</v>
      </c>
      <c r="F53" s="346">
        <f t="shared" ref="F53:Y53" si="18">SUM(F51:F52)</f>
        <v>259200</v>
      </c>
      <c r="G53" s="346">
        <f t="shared" si="18"/>
        <v>280800</v>
      </c>
      <c r="H53" s="346">
        <f t="shared" si="18"/>
        <v>302400</v>
      </c>
      <c r="I53" s="346">
        <f t="shared" si="18"/>
        <v>324000</v>
      </c>
      <c r="J53" s="346">
        <f t="shared" si="18"/>
        <v>108000</v>
      </c>
      <c r="K53" s="346">
        <f t="shared" si="18"/>
        <v>108000</v>
      </c>
      <c r="L53" s="346">
        <f t="shared" si="18"/>
        <v>108000</v>
      </c>
      <c r="M53" s="346">
        <f t="shared" si="18"/>
        <v>108000</v>
      </c>
      <c r="N53" s="346">
        <f t="shared" si="18"/>
        <v>108000</v>
      </c>
      <c r="O53" s="346">
        <f t="shared" si="18"/>
        <v>108000</v>
      </c>
      <c r="P53" s="346">
        <f t="shared" si="18"/>
        <v>108000</v>
      </c>
      <c r="Q53" s="346">
        <f t="shared" si="18"/>
        <v>108000</v>
      </c>
      <c r="R53" s="346">
        <f t="shared" si="18"/>
        <v>108000</v>
      </c>
      <c r="S53" s="346">
        <f t="shared" si="18"/>
        <v>108000</v>
      </c>
      <c r="T53" s="346">
        <f t="shared" si="18"/>
        <v>108000</v>
      </c>
      <c r="U53" s="346">
        <f t="shared" si="18"/>
        <v>108000</v>
      </c>
      <c r="V53" s="346">
        <f t="shared" si="18"/>
        <v>108000</v>
      </c>
      <c r="W53" s="346">
        <f t="shared" si="18"/>
        <v>108000</v>
      </c>
      <c r="X53" s="346">
        <f t="shared" si="18"/>
        <v>108000</v>
      </c>
      <c r="Y53" s="346">
        <f t="shared" si="18"/>
        <v>108000</v>
      </c>
      <c r="Z53" s="15"/>
    </row>
    <row r="54" spans="1:26" ht="15" thickBot="1">
      <c r="A54" s="49" t="s">
        <v>27</v>
      </c>
      <c r="B54" s="48"/>
      <c r="C54" s="48"/>
      <c r="D54" s="47" t="s">
        <v>0</v>
      </c>
      <c r="E54" s="346">
        <f t="shared" ref="E54:Y54" si="19">E49-E53</f>
        <v>-211956.48000000001</v>
      </c>
      <c r="F54" s="346">
        <f t="shared" si="19"/>
        <v>3028375.3665306126</v>
      </c>
      <c r="G54" s="346">
        <f t="shared" si="19"/>
        <v>4650563.0497959182</v>
      </c>
      <c r="H54" s="346">
        <f t="shared" si="19"/>
        <v>6272750.7330612252</v>
      </c>
      <c r="I54" s="346">
        <f t="shared" si="19"/>
        <v>7894938.4163265312</v>
      </c>
      <c r="J54" s="346">
        <f t="shared" si="19"/>
        <v>8110938.4163265312</v>
      </c>
      <c r="K54" s="346">
        <f t="shared" si="19"/>
        <v>8110938.4163265312</v>
      </c>
      <c r="L54" s="346">
        <f t="shared" si="19"/>
        <v>8110938.4163265312</v>
      </c>
      <c r="M54" s="346">
        <f t="shared" si="19"/>
        <v>8110938.4163265312</v>
      </c>
      <c r="N54" s="346">
        <f t="shared" si="19"/>
        <v>8110938.4163265312</v>
      </c>
      <c r="O54" s="346">
        <f t="shared" si="19"/>
        <v>8110938.4163265312</v>
      </c>
      <c r="P54" s="346">
        <f t="shared" si="19"/>
        <v>8110938.4163265312</v>
      </c>
      <c r="Q54" s="346">
        <f t="shared" si="19"/>
        <v>8110938.4163265312</v>
      </c>
      <c r="R54" s="346">
        <f t="shared" si="19"/>
        <v>8110938.4163265312</v>
      </c>
      <c r="S54" s="346">
        <f t="shared" si="19"/>
        <v>8110938.4163265312</v>
      </c>
      <c r="T54" s="346">
        <f t="shared" si="19"/>
        <v>8110938.4163265312</v>
      </c>
      <c r="U54" s="346">
        <f t="shared" si="19"/>
        <v>8110938.4163265312</v>
      </c>
      <c r="V54" s="346">
        <f t="shared" si="19"/>
        <v>8110938.4163265312</v>
      </c>
      <c r="W54" s="346">
        <f t="shared" si="19"/>
        <v>8110938.4163265312</v>
      </c>
      <c r="X54" s="346">
        <f t="shared" si="19"/>
        <v>8110938.4163265312</v>
      </c>
      <c r="Y54" s="346">
        <f t="shared" si="19"/>
        <v>8110938.4163265312</v>
      </c>
      <c r="Z54" s="15"/>
    </row>
    <row r="55" spans="1:26" ht="15" thickBot="1">
      <c r="A55" s="98"/>
      <c r="B55" s="97"/>
      <c r="C55" s="97"/>
      <c r="D55" s="97"/>
      <c r="E55" s="141"/>
      <c r="F55" s="141"/>
      <c r="G55" s="141"/>
      <c r="H55" s="141"/>
      <c r="I55" s="141"/>
      <c r="J55" s="141"/>
      <c r="K55" s="141"/>
      <c r="L55" s="141"/>
      <c r="M55" s="141"/>
      <c r="N55" s="141"/>
      <c r="O55" s="141"/>
      <c r="P55" s="96"/>
      <c r="Q55" s="96"/>
      <c r="R55" s="96"/>
      <c r="S55" s="96"/>
      <c r="T55" s="96"/>
      <c r="U55" s="96"/>
      <c r="V55" s="96"/>
      <c r="W55" s="96"/>
      <c r="X55" s="95"/>
      <c r="Y55" s="94"/>
      <c r="Z55" s="15"/>
    </row>
    <row r="56" spans="1:26" ht="15" thickBot="1">
      <c r="A56" s="579" t="s">
        <v>39</v>
      </c>
      <c r="B56" s="580"/>
      <c r="C56" s="580"/>
      <c r="D56" s="581"/>
      <c r="E56" s="140"/>
      <c r="F56" s="139"/>
      <c r="G56" s="139"/>
      <c r="H56" s="139"/>
      <c r="I56" s="139"/>
      <c r="J56" s="139"/>
      <c r="K56" s="139"/>
      <c r="L56" s="139"/>
      <c r="M56" s="139"/>
      <c r="N56" s="139"/>
      <c r="O56" s="139"/>
      <c r="P56" s="93"/>
      <c r="Q56" s="93"/>
      <c r="R56" s="93"/>
      <c r="S56" s="93"/>
      <c r="T56" s="93"/>
      <c r="U56" s="93"/>
      <c r="V56" s="93"/>
      <c r="W56" s="93"/>
      <c r="X56" s="92"/>
      <c r="Y56" s="91"/>
      <c r="Z56" s="15"/>
    </row>
    <row r="57" spans="1:26" ht="15" thickBot="1">
      <c r="A57" s="582" t="s">
        <v>15</v>
      </c>
      <c r="B57" s="583"/>
      <c r="C57" s="584"/>
      <c r="D57" s="90">
        <f>Calculations!B2</f>
        <v>8.5000000000000006E-2</v>
      </c>
      <c r="E57" s="138"/>
      <c r="F57" s="136"/>
      <c r="G57" s="136"/>
      <c r="H57" s="136"/>
      <c r="I57" s="136"/>
      <c r="J57" s="136"/>
      <c r="K57" s="136"/>
      <c r="L57" s="136"/>
      <c r="M57" s="136"/>
      <c r="N57" s="136"/>
      <c r="O57" s="136"/>
      <c r="P57" s="88"/>
      <c r="Q57" s="88"/>
      <c r="R57" s="88"/>
      <c r="S57" s="88"/>
      <c r="T57" s="88"/>
      <c r="U57" s="88"/>
      <c r="V57" s="88"/>
      <c r="W57" s="88"/>
      <c r="X57" s="87"/>
      <c r="Y57" s="86"/>
      <c r="Z57" s="15"/>
    </row>
    <row r="58" spans="1:26" ht="15" thickBot="1">
      <c r="A58" s="582" t="s">
        <v>14</v>
      </c>
      <c r="B58" s="583"/>
      <c r="C58" s="583"/>
      <c r="D58" s="585"/>
      <c r="E58" s="137"/>
      <c r="F58" s="136"/>
      <c r="G58" s="136"/>
      <c r="H58" s="136"/>
      <c r="I58" s="136"/>
      <c r="J58" s="136"/>
      <c r="K58" s="136"/>
      <c r="L58" s="136"/>
      <c r="M58" s="136"/>
      <c r="N58" s="136"/>
      <c r="O58" s="136"/>
      <c r="P58" s="88"/>
      <c r="Q58" s="88"/>
      <c r="R58" s="88"/>
      <c r="S58" s="88"/>
      <c r="T58" s="88"/>
      <c r="U58" s="88"/>
      <c r="V58" s="88"/>
      <c r="W58" s="88"/>
      <c r="X58" s="87"/>
      <c r="Y58" s="86"/>
      <c r="Z58" s="15"/>
    </row>
    <row r="59" spans="1:26" ht="15" thickBot="1">
      <c r="A59" s="586" t="s">
        <v>26</v>
      </c>
      <c r="B59" s="587"/>
      <c r="C59" s="587"/>
      <c r="D59" s="28">
        <f>NPV(D57,E54:Y54)</f>
        <v>62051398.922638878</v>
      </c>
      <c r="E59" s="24" t="s">
        <v>0</v>
      </c>
      <c r="F59" s="88"/>
      <c r="G59" s="88"/>
      <c r="H59" s="88"/>
      <c r="I59" s="88"/>
      <c r="J59" s="88"/>
      <c r="K59" s="88"/>
      <c r="L59" s="88"/>
      <c r="M59" s="88"/>
      <c r="N59" s="88"/>
      <c r="O59" s="88"/>
      <c r="P59" s="88"/>
      <c r="Q59" s="88"/>
      <c r="R59" s="88"/>
      <c r="S59" s="88"/>
      <c r="T59" s="88"/>
      <c r="U59" s="88"/>
      <c r="V59" s="88"/>
      <c r="W59" s="88"/>
      <c r="X59" s="87"/>
      <c r="Y59" s="86"/>
      <c r="Z59" s="15"/>
    </row>
    <row r="60" spans="1:26" ht="15" thickBot="1">
      <c r="A60" s="588" t="s">
        <v>25</v>
      </c>
      <c r="B60" s="589"/>
      <c r="C60" s="590"/>
      <c r="D60" s="27">
        <f>IRR(E54:Y54)</f>
        <v>14.804569857559761</v>
      </c>
      <c r="E60" s="29" t="s">
        <v>3</v>
      </c>
      <c r="F60" s="88"/>
      <c r="G60" s="88"/>
      <c r="H60" s="88"/>
      <c r="I60" s="88"/>
      <c r="J60" s="88"/>
      <c r="K60" s="88"/>
      <c r="L60" s="88"/>
      <c r="M60" s="88"/>
      <c r="N60" s="88"/>
      <c r="O60" s="88"/>
      <c r="P60" s="88"/>
      <c r="Q60" s="88"/>
      <c r="R60" s="88"/>
      <c r="S60" s="88"/>
      <c r="T60" s="88"/>
      <c r="U60" s="88"/>
      <c r="V60" s="88"/>
      <c r="W60" s="88"/>
      <c r="X60" s="87"/>
      <c r="Y60" s="86"/>
      <c r="Z60" s="15"/>
    </row>
    <row r="61" spans="1:26" s="132" customFormat="1" ht="15" thickBot="1">
      <c r="A61" s="591" t="s">
        <v>24</v>
      </c>
      <c r="B61" s="592"/>
      <c r="C61" s="593"/>
      <c r="D61" s="25">
        <f>MIRR(E54:Y54,D57,D57)</f>
        <v>0.44742051701866403</v>
      </c>
      <c r="E61" s="135" t="s">
        <v>3</v>
      </c>
      <c r="F61" s="127"/>
      <c r="G61" s="127"/>
      <c r="H61" s="127"/>
      <c r="I61" s="127"/>
      <c r="J61" s="127"/>
      <c r="K61" s="127"/>
      <c r="L61" s="127"/>
      <c r="M61" s="127"/>
      <c r="N61" s="127"/>
      <c r="O61" s="127"/>
      <c r="P61" s="127"/>
      <c r="Q61" s="127"/>
      <c r="R61" s="127"/>
      <c r="S61" s="127"/>
      <c r="T61" s="127"/>
      <c r="U61" s="127"/>
      <c r="V61" s="127"/>
      <c r="W61" s="127"/>
      <c r="X61" s="134"/>
      <c r="Y61" s="126"/>
      <c r="Z61" s="133"/>
    </row>
    <row r="62" spans="1:26" s="124" customFormat="1" ht="15" thickBot="1">
      <c r="A62" s="131"/>
      <c r="B62" s="130"/>
      <c r="C62" s="130"/>
      <c r="D62" s="93"/>
      <c r="E62" s="88"/>
      <c r="F62" s="88"/>
      <c r="G62" s="88"/>
      <c r="H62" s="88"/>
      <c r="I62" s="88"/>
      <c r="J62" s="88"/>
      <c r="K62" s="88"/>
      <c r="L62" s="88"/>
      <c r="M62" s="88"/>
      <c r="N62" s="88"/>
      <c r="O62" s="88"/>
      <c r="P62" s="88"/>
      <c r="Q62" s="88"/>
      <c r="R62" s="88"/>
      <c r="S62" s="88"/>
      <c r="T62" s="88"/>
      <c r="U62" s="88"/>
      <c r="V62" s="88"/>
      <c r="W62" s="88"/>
      <c r="X62" s="88"/>
      <c r="Y62" s="86"/>
      <c r="Z62" s="125"/>
    </row>
    <row r="63" spans="1:26" s="124" customFormat="1" ht="15" thickBot="1">
      <c r="A63" s="129"/>
      <c r="B63" s="128"/>
      <c r="C63" s="128"/>
      <c r="D63" s="127"/>
      <c r="E63" s="127"/>
      <c r="F63" s="127"/>
      <c r="G63" s="127"/>
      <c r="H63" s="127"/>
      <c r="I63" s="127"/>
      <c r="J63" s="127"/>
      <c r="K63" s="127"/>
      <c r="L63" s="127"/>
      <c r="M63" s="127"/>
      <c r="N63" s="127"/>
      <c r="O63" s="127"/>
      <c r="P63" s="127"/>
      <c r="Q63" s="127"/>
      <c r="R63" s="127"/>
      <c r="S63" s="127"/>
      <c r="T63" s="127"/>
      <c r="U63" s="127"/>
      <c r="V63" s="127"/>
      <c r="W63" s="127"/>
      <c r="X63" s="127"/>
      <c r="Y63" s="126"/>
      <c r="Z63" s="125"/>
    </row>
    <row r="64" spans="1:26" s="122" customFormat="1" ht="27" customHeight="1" thickBot="1">
      <c r="A64" s="576" t="s">
        <v>38</v>
      </c>
      <c r="B64" s="577"/>
      <c r="C64" s="577"/>
      <c r="D64" s="577"/>
      <c r="E64" s="577"/>
      <c r="F64" s="577"/>
      <c r="G64" s="577"/>
      <c r="H64" s="577"/>
      <c r="I64" s="577"/>
      <c r="J64" s="577"/>
      <c r="K64" s="577"/>
      <c r="L64" s="577"/>
      <c r="M64" s="577"/>
      <c r="N64" s="577"/>
      <c r="O64" s="577"/>
      <c r="P64" s="577"/>
      <c r="Q64" s="577"/>
      <c r="R64" s="577"/>
      <c r="S64" s="577"/>
      <c r="T64" s="577"/>
      <c r="U64" s="577"/>
      <c r="V64" s="577"/>
      <c r="W64" s="577"/>
      <c r="X64" s="577"/>
      <c r="Y64" s="578"/>
      <c r="Z64" s="123"/>
    </row>
    <row r="65" spans="1:26" ht="27" customHeight="1" thickBot="1">
      <c r="A65" s="576" t="s">
        <v>99</v>
      </c>
      <c r="B65" s="577"/>
      <c r="C65" s="577"/>
      <c r="D65" s="577"/>
      <c r="E65" s="577"/>
      <c r="F65" s="577"/>
      <c r="G65" s="577"/>
      <c r="H65" s="577"/>
      <c r="I65" s="577"/>
      <c r="J65" s="577"/>
      <c r="K65" s="577"/>
      <c r="L65" s="577"/>
      <c r="M65" s="577"/>
      <c r="N65" s="577"/>
      <c r="O65" s="577"/>
      <c r="P65" s="577"/>
      <c r="Q65" s="577"/>
      <c r="R65" s="577"/>
      <c r="S65" s="577"/>
      <c r="T65" s="577"/>
      <c r="U65" s="577"/>
      <c r="V65" s="577"/>
      <c r="W65" s="577"/>
      <c r="X65" s="577"/>
      <c r="Y65" s="578"/>
      <c r="Z65" s="15"/>
    </row>
    <row r="66" spans="1:26">
      <c r="A66" s="69"/>
      <c r="B66" s="68" t="s">
        <v>23</v>
      </c>
      <c r="C66" s="67"/>
      <c r="D66" s="112" t="s">
        <v>21</v>
      </c>
      <c r="E66" s="67">
        <v>2023</v>
      </c>
      <c r="F66" s="67">
        <v>2024</v>
      </c>
      <c r="G66" s="67">
        <v>2025</v>
      </c>
      <c r="H66" s="67">
        <v>2026</v>
      </c>
      <c r="I66" s="67">
        <v>2027</v>
      </c>
      <c r="J66" s="67">
        <v>2028</v>
      </c>
      <c r="K66" s="67">
        <v>2029</v>
      </c>
      <c r="L66" s="67">
        <v>2030</v>
      </c>
      <c r="M66" s="67">
        <v>2031</v>
      </c>
      <c r="N66" s="67">
        <v>2032</v>
      </c>
      <c r="O66" s="67">
        <v>2033</v>
      </c>
      <c r="P66" s="67">
        <v>2034</v>
      </c>
      <c r="Q66" s="67">
        <v>2035</v>
      </c>
      <c r="R66" s="67">
        <v>2036</v>
      </c>
      <c r="S66" s="67">
        <v>2037</v>
      </c>
      <c r="T66" s="67">
        <v>2038</v>
      </c>
      <c r="U66" s="67">
        <v>2039</v>
      </c>
      <c r="V66" s="67">
        <v>2040</v>
      </c>
      <c r="W66" s="67">
        <v>2041</v>
      </c>
      <c r="X66" s="67">
        <v>2042</v>
      </c>
      <c r="Y66" s="66">
        <v>2043</v>
      </c>
      <c r="Z66" s="15"/>
    </row>
    <row r="67" spans="1:26">
      <c r="A67" s="61" t="s">
        <v>100</v>
      </c>
      <c r="B67" s="65"/>
      <c r="C67" s="64"/>
      <c r="D67" s="64"/>
      <c r="E67" s="64">
        <v>20</v>
      </c>
      <c r="F67" s="64">
        <v>19</v>
      </c>
      <c r="G67" s="64">
        <v>18</v>
      </c>
      <c r="H67" s="64">
        <v>17</v>
      </c>
      <c r="I67" s="64">
        <v>16</v>
      </c>
      <c r="J67" s="64">
        <v>15</v>
      </c>
      <c r="K67" s="64">
        <v>14</v>
      </c>
      <c r="L67" s="64">
        <v>13</v>
      </c>
      <c r="M67" s="64">
        <v>12</v>
      </c>
      <c r="N67" s="64">
        <v>11</v>
      </c>
      <c r="O67" s="64">
        <v>10</v>
      </c>
      <c r="P67" s="64">
        <v>9</v>
      </c>
      <c r="Q67" s="64">
        <v>8</v>
      </c>
      <c r="R67" s="64">
        <v>7</v>
      </c>
      <c r="S67" s="64">
        <v>6</v>
      </c>
      <c r="T67" s="64">
        <v>5</v>
      </c>
      <c r="U67" s="64">
        <v>4</v>
      </c>
      <c r="V67" s="64">
        <v>3</v>
      </c>
      <c r="W67" s="64">
        <v>2</v>
      </c>
      <c r="X67" s="63">
        <v>1</v>
      </c>
      <c r="Y67" s="62"/>
      <c r="Z67" s="15"/>
    </row>
    <row r="68" spans="1:26" ht="15" thickBot="1">
      <c r="A68" s="61" t="s">
        <v>20</v>
      </c>
      <c r="B68" s="60"/>
      <c r="C68" s="60"/>
      <c r="D68" s="59"/>
      <c r="E68" s="52"/>
      <c r="F68" s="58"/>
      <c r="G68" s="58"/>
      <c r="H68" s="58"/>
      <c r="I68" s="58"/>
      <c r="J68" s="58"/>
      <c r="K68" s="58"/>
      <c r="L68" s="58"/>
      <c r="M68" s="58"/>
      <c r="N68" s="58"/>
      <c r="O68" s="58"/>
      <c r="P68" s="58"/>
      <c r="Q68" s="58"/>
      <c r="R68" s="58"/>
      <c r="S68" s="58"/>
      <c r="T68" s="58"/>
      <c r="U68" s="58"/>
      <c r="V68" s="58"/>
      <c r="W68" s="58"/>
      <c r="X68" s="57"/>
      <c r="Y68" s="56"/>
      <c r="Z68" s="15"/>
    </row>
    <row r="69" spans="1:26" ht="15" thickBot="1">
      <c r="A69" s="85" t="s">
        <v>98</v>
      </c>
      <c r="B69" s="51" t="s">
        <v>96</v>
      </c>
      <c r="C69" s="347">
        <f>'CFs used'!B11</f>
        <v>0.97860000000000003</v>
      </c>
      <c r="D69" s="47" t="s">
        <v>0</v>
      </c>
      <c r="E69" s="346">
        <f>$C$69*E27</f>
        <v>36.638784000000001</v>
      </c>
      <c r="F69" s="346">
        <f t="shared" ref="F69:Y69" si="20">$C$69*F27</f>
        <v>36.638784000000001</v>
      </c>
      <c r="G69" s="346">
        <f t="shared" si="20"/>
        <v>36.638784000000001</v>
      </c>
      <c r="H69" s="346">
        <f t="shared" si="20"/>
        <v>36.638784000000001</v>
      </c>
      <c r="I69" s="346">
        <f t="shared" si="20"/>
        <v>36.638784000000001</v>
      </c>
      <c r="J69" s="346">
        <f t="shared" si="20"/>
        <v>36.638784000000001</v>
      </c>
      <c r="K69" s="346">
        <f t="shared" si="20"/>
        <v>36.638784000000001</v>
      </c>
      <c r="L69" s="346">
        <f t="shared" si="20"/>
        <v>36.638784000000001</v>
      </c>
      <c r="M69" s="346">
        <f t="shared" si="20"/>
        <v>36.638784000000001</v>
      </c>
      <c r="N69" s="346">
        <f t="shared" si="20"/>
        <v>36.638784000000001</v>
      </c>
      <c r="O69" s="346">
        <f t="shared" si="20"/>
        <v>36.638784000000001</v>
      </c>
      <c r="P69" s="346">
        <f t="shared" si="20"/>
        <v>36.638784000000001</v>
      </c>
      <c r="Q69" s="346">
        <f t="shared" si="20"/>
        <v>36.638784000000001</v>
      </c>
      <c r="R69" s="346">
        <f t="shared" si="20"/>
        <v>36.638784000000001</v>
      </c>
      <c r="S69" s="346">
        <f t="shared" si="20"/>
        <v>36.638784000000001</v>
      </c>
      <c r="T69" s="346">
        <f t="shared" si="20"/>
        <v>36.638784000000001</v>
      </c>
      <c r="U69" s="346">
        <f t="shared" si="20"/>
        <v>36.638784000000001</v>
      </c>
      <c r="V69" s="346">
        <f t="shared" si="20"/>
        <v>36.638784000000001</v>
      </c>
      <c r="W69" s="346">
        <f t="shared" si="20"/>
        <v>36.638784000000001</v>
      </c>
      <c r="X69" s="346">
        <f t="shared" si="20"/>
        <v>36.638784000000001</v>
      </c>
      <c r="Y69" s="346">
        <f t="shared" si="20"/>
        <v>36.638784000000001</v>
      </c>
      <c r="Z69" s="15"/>
    </row>
    <row r="70" spans="1:26" ht="15.75" thickBot="1">
      <c r="A70" s="85" t="s">
        <v>97</v>
      </c>
      <c r="B70" s="51" t="s">
        <v>64</v>
      </c>
      <c r="C70" s="348">
        <f>'CFs used'!B7</f>
        <v>0.79220779220779236</v>
      </c>
      <c r="D70" s="47" t="s">
        <v>0</v>
      </c>
      <c r="E70" s="346">
        <f>F70</f>
        <v>12027.945401537241</v>
      </c>
      <c r="F70" s="346">
        <f t="shared" ref="F70:Y70" si="21">$C$70*F28</f>
        <v>12027.945401537241</v>
      </c>
      <c r="G70" s="346">
        <f t="shared" si="21"/>
        <v>12027.945401537241</v>
      </c>
      <c r="H70" s="346">
        <f t="shared" si="21"/>
        <v>12027.945401537241</v>
      </c>
      <c r="I70" s="346">
        <f t="shared" si="21"/>
        <v>12027.945401537241</v>
      </c>
      <c r="J70" s="346">
        <f t="shared" si="21"/>
        <v>12027.945401537241</v>
      </c>
      <c r="K70" s="346">
        <f t="shared" si="21"/>
        <v>12027.945401537241</v>
      </c>
      <c r="L70" s="346">
        <f t="shared" si="21"/>
        <v>12027.945401537241</v>
      </c>
      <c r="M70" s="346">
        <f t="shared" si="21"/>
        <v>12027.945401537241</v>
      </c>
      <c r="N70" s="346">
        <f t="shared" si="21"/>
        <v>12027.945401537241</v>
      </c>
      <c r="O70" s="346">
        <f t="shared" si="21"/>
        <v>12027.945401537241</v>
      </c>
      <c r="P70" s="346">
        <f t="shared" si="21"/>
        <v>12027.945401537241</v>
      </c>
      <c r="Q70" s="346">
        <f t="shared" si="21"/>
        <v>12027.945401537241</v>
      </c>
      <c r="R70" s="346">
        <f t="shared" si="21"/>
        <v>12027.945401537241</v>
      </c>
      <c r="S70" s="346">
        <f t="shared" si="21"/>
        <v>12027.945401537241</v>
      </c>
      <c r="T70" s="346">
        <f t="shared" si="21"/>
        <v>12027.945401537241</v>
      </c>
      <c r="U70" s="346">
        <f t="shared" si="21"/>
        <v>12027.945401537241</v>
      </c>
      <c r="V70" s="346">
        <f t="shared" si="21"/>
        <v>12027.945401537241</v>
      </c>
      <c r="W70" s="346">
        <f t="shared" si="21"/>
        <v>12027.945401537241</v>
      </c>
      <c r="X70" s="346">
        <f t="shared" si="21"/>
        <v>12027.945401537241</v>
      </c>
      <c r="Y70" s="346">
        <f t="shared" si="21"/>
        <v>12027.945401537241</v>
      </c>
      <c r="Z70" s="15"/>
    </row>
    <row r="71" spans="1:26" ht="15" thickBot="1">
      <c r="A71" s="50" t="s">
        <v>19</v>
      </c>
      <c r="B71" s="48"/>
      <c r="C71" s="48"/>
      <c r="D71" s="47" t="s">
        <v>0</v>
      </c>
      <c r="E71" s="346">
        <f>SUM(E69:E70)</f>
        <v>12064.584185537242</v>
      </c>
      <c r="F71" s="346">
        <f t="shared" ref="F71:Y71" si="22">SUM(F69:F70)</f>
        <v>12064.584185537242</v>
      </c>
      <c r="G71" s="346">
        <f t="shared" si="22"/>
        <v>12064.584185537242</v>
      </c>
      <c r="H71" s="346">
        <f t="shared" si="22"/>
        <v>12064.584185537242</v>
      </c>
      <c r="I71" s="346">
        <f t="shared" si="22"/>
        <v>12064.584185537242</v>
      </c>
      <c r="J71" s="346">
        <f t="shared" si="22"/>
        <v>12064.584185537242</v>
      </c>
      <c r="K71" s="346">
        <f t="shared" si="22"/>
        <v>12064.584185537242</v>
      </c>
      <c r="L71" s="346">
        <f t="shared" si="22"/>
        <v>12064.584185537242</v>
      </c>
      <c r="M71" s="346">
        <f t="shared" si="22"/>
        <v>12064.584185537242</v>
      </c>
      <c r="N71" s="346">
        <f t="shared" si="22"/>
        <v>12064.584185537242</v>
      </c>
      <c r="O71" s="346">
        <f t="shared" si="22"/>
        <v>12064.584185537242</v>
      </c>
      <c r="P71" s="346">
        <f t="shared" si="22"/>
        <v>12064.584185537242</v>
      </c>
      <c r="Q71" s="346">
        <f t="shared" si="22"/>
        <v>12064.584185537242</v>
      </c>
      <c r="R71" s="346">
        <f t="shared" si="22"/>
        <v>12064.584185537242</v>
      </c>
      <c r="S71" s="346">
        <f t="shared" si="22"/>
        <v>12064.584185537242</v>
      </c>
      <c r="T71" s="346">
        <f t="shared" si="22"/>
        <v>12064.584185537242</v>
      </c>
      <c r="U71" s="346">
        <f t="shared" si="22"/>
        <v>12064.584185537242</v>
      </c>
      <c r="V71" s="346">
        <f t="shared" si="22"/>
        <v>12064.584185537242</v>
      </c>
      <c r="W71" s="346">
        <f t="shared" si="22"/>
        <v>12064.584185537242</v>
      </c>
      <c r="X71" s="346">
        <f t="shared" si="22"/>
        <v>12064.584185537242</v>
      </c>
      <c r="Y71" s="346">
        <f t="shared" si="22"/>
        <v>12064.584185537242</v>
      </c>
      <c r="Z71" s="15"/>
    </row>
    <row r="72" spans="1:26" ht="15" thickBot="1">
      <c r="A72" s="53" t="s">
        <v>18</v>
      </c>
      <c r="B72" s="52"/>
      <c r="C72" s="52"/>
      <c r="D72" s="54"/>
      <c r="E72" s="346"/>
      <c r="F72" s="346"/>
      <c r="G72" s="346"/>
      <c r="H72" s="346"/>
      <c r="I72" s="346"/>
      <c r="J72" s="346"/>
      <c r="K72" s="346"/>
      <c r="L72" s="346"/>
      <c r="M72" s="346"/>
      <c r="N72" s="346"/>
      <c r="O72" s="346"/>
      <c r="P72" s="346"/>
      <c r="Q72" s="346"/>
      <c r="R72" s="346"/>
      <c r="S72" s="346"/>
      <c r="T72" s="346"/>
      <c r="U72" s="346"/>
      <c r="V72" s="346"/>
      <c r="W72" s="346"/>
      <c r="X72" s="346"/>
      <c r="Y72" s="346"/>
      <c r="Z72" s="15"/>
    </row>
    <row r="73" spans="1:26" ht="15" thickBot="1">
      <c r="A73" s="85" t="s">
        <v>34</v>
      </c>
      <c r="B73" s="52"/>
      <c r="C73" s="52">
        <f>'CFs used'!B7</f>
        <v>0.79220779220779236</v>
      </c>
      <c r="D73" s="47" t="s">
        <v>0</v>
      </c>
      <c r="E73" s="346">
        <f>E31*C73</f>
        <v>1584.4155844155848</v>
      </c>
      <c r="F73" s="346"/>
      <c r="G73" s="346"/>
      <c r="H73" s="346"/>
      <c r="I73" s="346"/>
      <c r="J73" s="346"/>
      <c r="K73" s="346"/>
      <c r="L73" s="346"/>
      <c r="M73" s="346"/>
      <c r="N73" s="346"/>
      <c r="O73" s="346"/>
      <c r="P73" s="346"/>
      <c r="Q73" s="346"/>
      <c r="R73" s="346"/>
      <c r="S73" s="346"/>
      <c r="T73" s="346"/>
      <c r="U73" s="346"/>
      <c r="V73" s="346"/>
      <c r="W73" s="346"/>
      <c r="X73" s="346"/>
      <c r="Y73" s="346"/>
      <c r="Z73" s="15"/>
    </row>
    <row r="74" spans="1:26" ht="15" thickBot="1">
      <c r="A74" s="85" t="s">
        <v>33</v>
      </c>
      <c r="B74" s="52"/>
      <c r="C74" s="52">
        <f>C73</f>
        <v>0.79220779220779236</v>
      </c>
      <c r="D74" s="47" t="s">
        <v>0</v>
      </c>
      <c r="E74" s="346">
        <f t="shared" ref="E74:Y74" si="23">E32*$C$74</f>
        <v>0</v>
      </c>
      <c r="F74" s="346">
        <f t="shared" si="23"/>
        <v>158.44155844155847</v>
      </c>
      <c r="G74" s="346">
        <f t="shared" si="23"/>
        <v>158.44155844155847</v>
      </c>
      <c r="H74" s="346">
        <f t="shared" si="23"/>
        <v>158.44155844155847</v>
      </c>
      <c r="I74" s="346">
        <f t="shared" si="23"/>
        <v>158.44155844155847</v>
      </c>
      <c r="J74" s="346">
        <f t="shared" si="23"/>
        <v>158.44155844155847</v>
      </c>
      <c r="K74" s="346">
        <f t="shared" si="23"/>
        <v>158.44155844155847</v>
      </c>
      <c r="L74" s="346">
        <f t="shared" si="23"/>
        <v>158.44155844155847</v>
      </c>
      <c r="M74" s="346">
        <f t="shared" si="23"/>
        <v>158.44155844155847</v>
      </c>
      <c r="N74" s="346">
        <f t="shared" si="23"/>
        <v>158.44155844155847</v>
      </c>
      <c r="O74" s="346">
        <f t="shared" si="23"/>
        <v>158.44155844155847</v>
      </c>
      <c r="P74" s="346">
        <f t="shared" si="23"/>
        <v>158.44155844155847</v>
      </c>
      <c r="Q74" s="346">
        <f t="shared" si="23"/>
        <v>158.44155844155847</v>
      </c>
      <c r="R74" s="346">
        <f t="shared" si="23"/>
        <v>158.44155844155847</v>
      </c>
      <c r="S74" s="346">
        <f t="shared" si="23"/>
        <v>158.44155844155847</v>
      </c>
      <c r="T74" s="346">
        <f t="shared" si="23"/>
        <v>158.44155844155847</v>
      </c>
      <c r="U74" s="346">
        <f t="shared" si="23"/>
        <v>158.44155844155847</v>
      </c>
      <c r="V74" s="346">
        <f t="shared" si="23"/>
        <v>158.44155844155847</v>
      </c>
      <c r="W74" s="346">
        <f t="shared" si="23"/>
        <v>158.44155844155847</v>
      </c>
      <c r="X74" s="346">
        <f t="shared" si="23"/>
        <v>158.44155844155847</v>
      </c>
      <c r="Y74" s="346">
        <f t="shared" si="23"/>
        <v>158.44155844155847</v>
      </c>
      <c r="Z74" s="15"/>
    </row>
    <row r="75" spans="1:26" ht="15" customHeight="1" thickBot="1">
      <c r="A75" s="50" t="s">
        <v>17</v>
      </c>
      <c r="B75" s="48"/>
      <c r="C75" s="48"/>
      <c r="D75" s="47" t="s">
        <v>0</v>
      </c>
      <c r="E75" s="346">
        <f>SUM(E73:E74)</f>
        <v>1584.4155844155848</v>
      </c>
      <c r="F75" s="346">
        <f t="shared" ref="F75:Y75" si="24">SUM(F73:F74)</f>
        <v>158.44155844155847</v>
      </c>
      <c r="G75" s="346">
        <f t="shared" si="24"/>
        <v>158.44155844155847</v>
      </c>
      <c r="H75" s="346">
        <f t="shared" si="24"/>
        <v>158.44155844155847</v>
      </c>
      <c r="I75" s="346">
        <f t="shared" si="24"/>
        <v>158.44155844155847</v>
      </c>
      <c r="J75" s="346">
        <f t="shared" si="24"/>
        <v>158.44155844155847</v>
      </c>
      <c r="K75" s="346">
        <f t="shared" si="24"/>
        <v>158.44155844155847</v>
      </c>
      <c r="L75" s="346">
        <f t="shared" si="24"/>
        <v>158.44155844155847</v>
      </c>
      <c r="M75" s="346">
        <f t="shared" si="24"/>
        <v>158.44155844155847</v>
      </c>
      <c r="N75" s="346">
        <f t="shared" si="24"/>
        <v>158.44155844155847</v>
      </c>
      <c r="O75" s="346">
        <f t="shared" si="24"/>
        <v>158.44155844155847</v>
      </c>
      <c r="P75" s="346">
        <f t="shared" si="24"/>
        <v>158.44155844155847</v>
      </c>
      <c r="Q75" s="346">
        <f t="shared" si="24"/>
        <v>158.44155844155847</v>
      </c>
      <c r="R75" s="346">
        <f t="shared" si="24"/>
        <v>158.44155844155847</v>
      </c>
      <c r="S75" s="346">
        <f t="shared" si="24"/>
        <v>158.44155844155847</v>
      </c>
      <c r="T75" s="346">
        <f t="shared" si="24"/>
        <v>158.44155844155847</v>
      </c>
      <c r="U75" s="346">
        <f t="shared" si="24"/>
        <v>158.44155844155847</v>
      </c>
      <c r="V75" s="346">
        <f t="shared" si="24"/>
        <v>158.44155844155847</v>
      </c>
      <c r="W75" s="346">
        <f t="shared" si="24"/>
        <v>158.44155844155847</v>
      </c>
      <c r="X75" s="346">
        <f t="shared" si="24"/>
        <v>158.44155844155847</v>
      </c>
      <c r="Y75" s="346">
        <f t="shared" si="24"/>
        <v>158.44155844155847</v>
      </c>
      <c r="Z75" s="15"/>
    </row>
    <row r="76" spans="1:26" ht="15" thickBot="1">
      <c r="A76" s="49" t="s">
        <v>16</v>
      </c>
      <c r="B76" s="48"/>
      <c r="C76" s="48"/>
      <c r="D76" s="47" t="s">
        <v>0</v>
      </c>
      <c r="E76" s="346">
        <f t="shared" ref="E76:Y76" si="25">E71-E75</f>
        <v>10480.168601121657</v>
      </c>
      <c r="F76" s="346">
        <f t="shared" si="25"/>
        <v>11906.142627095684</v>
      </c>
      <c r="G76" s="346">
        <f t="shared" si="25"/>
        <v>11906.142627095684</v>
      </c>
      <c r="H76" s="346">
        <f t="shared" si="25"/>
        <v>11906.142627095684</v>
      </c>
      <c r="I76" s="346">
        <f t="shared" si="25"/>
        <v>11906.142627095684</v>
      </c>
      <c r="J76" s="346">
        <f t="shared" si="25"/>
        <v>11906.142627095684</v>
      </c>
      <c r="K76" s="346">
        <f t="shared" si="25"/>
        <v>11906.142627095684</v>
      </c>
      <c r="L76" s="346">
        <f t="shared" si="25"/>
        <v>11906.142627095684</v>
      </c>
      <c r="M76" s="346">
        <f t="shared" si="25"/>
        <v>11906.142627095684</v>
      </c>
      <c r="N76" s="346">
        <f t="shared" si="25"/>
        <v>11906.142627095684</v>
      </c>
      <c r="O76" s="346">
        <f t="shared" si="25"/>
        <v>11906.142627095684</v>
      </c>
      <c r="P76" s="346">
        <f t="shared" si="25"/>
        <v>11906.142627095684</v>
      </c>
      <c r="Q76" s="346">
        <f t="shared" si="25"/>
        <v>11906.142627095684</v>
      </c>
      <c r="R76" s="346">
        <f t="shared" si="25"/>
        <v>11906.142627095684</v>
      </c>
      <c r="S76" s="346">
        <f t="shared" si="25"/>
        <v>11906.142627095684</v>
      </c>
      <c r="T76" s="346">
        <f t="shared" si="25"/>
        <v>11906.142627095684</v>
      </c>
      <c r="U76" s="346">
        <f t="shared" si="25"/>
        <v>11906.142627095684</v>
      </c>
      <c r="V76" s="346">
        <f t="shared" si="25"/>
        <v>11906.142627095684</v>
      </c>
      <c r="W76" s="346">
        <f t="shared" si="25"/>
        <v>11906.142627095684</v>
      </c>
      <c r="X76" s="346">
        <f t="shared" si="25"/>
        <v>11906.142627095684</v>
      </c>
      <c r="Y76" s="346">
        <f t="shared" si="25"/>
        <v>11906.142627095684</v>
      </c>
      <c r="Z76" s="15"/>
    </row>
    <row r="77" spans="1:26" ht="15" thickBot="1">
      <c r="A77" s="84"/>
      <c r="B77" s="83"/>
      <c r="C77" s="83"/>
      <c r="D77" s="83"/>
      <c r="E77" s="343"/>
      <c r="F77" s="343"/>
      <c r="G77" s="343"/>
      <c r="H77" s="82"/>
      <c r="I77" s="82"/>
      <c r="J77" s="82"/>
      <c r="K77" s="82"/>
      <c r="L77" s="82"/>
      <c r="M77" s="82"/>
      <c r="N77" s="82"/>
      <c r="O77" s="82"/>
      <c r="P77" s="82"/>
      <c r="Q77" s="82"/>
      <c r="R77" s="82"/>
      <c r="S77" s="82"/>
      <c r="T77" s="82"/>
      <c r="U77" s="82"/>
      <c r="V77" s="82"/>
      <c r="W77" s="82"/>
      <c r="X77" s="81"/>
      <c r="Y77" s="80"/>
      <c r="Z77" s="15"/>
    </row>
    <row r="78" spans="1:26" ht="15" thickBot="1">
      <c r="A78" s="579" t="s">
        <v>37</v>
      </c>
      <c r="B78" s="580"/>
      <c r="C78" s="580"/>
      <c r="D78" s="581"/>
      <c r="E78" s="79"/>
      <c r="F78" s="77"/>
      <c r="G78" s="77"/>
      <c r="H78" s="77"/>
      <c r="I78" s="77"/>
      <c r="J78" s="77"/>
      <c r="K78" s="77"/>
      <c r="L78" s="77"/>
      <c r="M78" s="77"/>
      <c r="N78" s="77"/>
      <c r="O78" s="77"/>
      <c r="P78" s="77"/>
      <c r="Q78" s="77"/>
      <c r="R78" s="77"/>
      <c r="S78" s="77"/>
      <c r="T78" s="77"/>
      <c r="U78" s="77"/>
      <c r="V78" s="77"/>
      <c r="W78" s="77"/>
      <c r="X78" s="76"/>
      <c r="Y78" s="75"/>
      <c r="Z78" s="15"/>
    </row>
    <row r="79" spans="1:26" ht="15" thickBot="1">
      <c r="A79" s="582" t="s">
        <v>15</v>
      </c>
      <c r="B79" s="583"/>
      <c r="C79" s="584"/>
      <c r="D79" s="30">
        <f>Calculations!B3</f>
        <v>0.06</v>
      </c>
      <c r="E79" s="79"/>
      <c r="F79" s="77"/>
      <c r="G79" s="77"/>
      <c r="H79" s="77"/>
      <c r="I79" s="77"/>
      <c r="J79" s="77"/>
      <c r="K79" s="77"/>
      <c r="L79" s="77"/>
      <c r="M79" s="77"/>
      <c r="N79" s="77"/>
      <c r="O79" s="77"/>
      <c r="P79" s="77"/>
      <c r="Q79" s="77"/>
      <c r="R79" s="77"/>
      <c r="S79" s="77"/>
      <c r="T79" s="77"/>
      <c r="U79" s="77"/>
      <c r="V79" s="77"/>
      <c r="W79" s="77"/>
      <c r="X79" s="76"/>
      <c r="Y79" s="75"/>
      <c r="Z79" s="15"/>
    </row>
    <row r="80" spans="1:26" ht="15" thickBot="1">
      <c r="A80" s="599" t="s">
        <v>14</v>
      </c>
      <c r="B80" s="600"/>
      <c r="C80" s="600"/>
      <c r="D80" s="585"/>
      <c r="E80" s="78"/>
      <c r="F80" s="77"/>
      <c r="G80" s="77"/>
      <c r="H80" s="77"/>
      <c r="I80" s="77"/>
      <c r="J80" s="77"/>
      <c r="K80" s="77"/>
      <c r="L80" s="77"/>
      <c r="M80" s="77"/>
      <c r="N80" s="77"/>
      <c r="O80" s="77"/>
      <c r="P80" s="77"/>
      <c r="Q80" s="77"/>
      <c r="R80" s="77"/>
      <c r="S80" s="77"/>
      <c r="T80" s="77"/>
      <c r="U80" s="77"/>
      <c r="V80" s="77"/>
      <c r="W80" s="77"/>
      <c r="X80" s="76"/>
      <c r="Y80" s="75"/>
      <c r="Z80" s="15"/>
    </row>
    <row r="81" spans="1:26">
      <c r="A81" s="586" t="s">
        <v>13</v>
      </c>
      <c r="B81" s="587"/>
      <c r="C81" s="587"/>
      <c r="D81" s="28">
        <f>NPV(D79,E76:Y76)</f>
        <v>138719.51561406665</v>
      </c>
      <c r="E81" s="78" t="s">
        <v>0</v>
      </c>
      <c r="F81" s="77"/>
      <c r="G81" s="77"/>
      <c r="H81" s="77"/>
      <c r="I81" s="77"/>
      <c r="J81" s="77"/>
      <c r="K81" s="77"/>
      <c r="L81" s="77"/>
      <c r="M81" s="77"/>
      <c r="N81" s="77"/>
      <c r="O81" s="77"/>
      <c r="P81" s="77"/>
      <c r="Q81" s="77"/>
      <c r="R81" s="77"/>
      <c r="S81" s="77"/>
      <c r="T81" s="77"/>
      <c r="U81" s="77"/>
      <c r="V81" s="77"/>
      <c r="W81" s="77"/>
      <c r="X81" s="76"/>
      <c r="Y81" s="75"/>
      <c r="Z81" s="15"/>
    </row>
    <row r="82" spans="1:26">
      <c r="A82" s="588" t="s">
        <v>12</v>
      </c>
      <c r="B82" s="589"/>
      <c r="C82" s="590"/>
      <c r="D82" s="27" t="e">
        <f>IRR(E76:Y76)</f>
        <v>#DIV/0!</v>
      </c>
      <c r="E82" s="78" t="s">
        <v>3</v>
      </c>
      <c r="F82" s="77"/>
      <c r="G82" s="77"/>
      <c r="H82" s="77"/>
      <c r="I82" s="77"/>
      <c r="J82" s="77"/>
      <c r="K82" s="77"/>
      <c r="L82" s="77"/>
      <c r="M82" s="77"/>
      <c r="N82" s="77"/>
      <c r="O82" s="77"/>
      <c r="P82" s="77"/>
      <c r="Q82" s="77"/>
      <c r="R82" s="77"/>
      <c r="S82" s="77"/>
      <c r="T82" s="77"/>
      <c r="U82" s="77"/>
      <c r="V82" s="77"/>
      <c r="W82" s="77"/>
      <c r="X82" s="76"/>
      <c r="Y82" s="75"/>
      <c r="Z82" s="15"/>
    </row>
    <row r="83" spans="1:26" ht="15" thickBot="1">
      <c r="A83" s="591" t="s">
        <v>11</v>
      </c>
      <c r="B83" s="592"/>
      <c r="C83" s="593"/>
      <c r="D83" s="25" t="e">
        <f>MIRR(E76:Y76,D79,D79)</f>
        <v>#DIV/0!</v>
      </c>
      <c r="E83" s="78" t="s">
        <v>3</v>
      </c>
      <c r="F83" s="77"/>
      <c r="G83" s="77"/>
      <c r="H83" s="77"/>
      <c r="I83" s="77"/>
      <c r="J83" s="77"/>
      <c r="K83" s="77"/>
      <c r="L83" s="77"/>
      <c r="M83" s="77"/>
      <c r="N83" s="77"/>
      <c r="O83" s="77"/>
      <c r="P83" s="77"/>
      <c r="Q83" s="77"/>
      <c r="R83" s="77"/>
      <c r="S83" s="77"/>
      <c r="T83" s="77"/>
      <c r="U83" s="77"/>
      <c r="V83" s="77"/>
      <c r="W83" s="77"/>
      <c r="X83" s="76"/>
      <c r="Y83" s="75"/>
      <c r="Z83" s="15"/>
    </row>
    <row r="84" spans="1:26" ht="15" thickBot="1">
      <c r="A84" s="74"/>
      <c r="B84" s="73"/>
      <c r="C84" s="73"/>
      <c r="D84" s="73"/>
      <c r="E84" s="72"/>
      <c r="F84" s="72"/>
      <c r="G84" s="72"/>
      <c r="H84" s="72"/>
      <c r="I84" s="72"/>
      <c r="J84" s="72"/>
      <c r="K84" s="72"/>
      <c r="L84" s="72"/>
      <c r="M84" s="72"/>
      <c r="N84" s="72"/>
      <c r="O84" s="72"/>
      <c r="P84" s="72"/>
      <c r="Q84" s="72"/>
      <c r="R84" s="72"/>
      <c r="S84" s="72"/>
      <c r="T84" s="72"/>
      <c r="U84" s="72"/>
      <c r="V84" s="72"/>
      <c r="W84" s="72"/>
      <c r="X84" s="71"/>
      <c r="Y84" s="70"/>
      <c r="Z84" s="15"/>
    </row>
    <row r="85" spans="1:26" ht="27" customHeight="1" thickBot="1">
      <c r="A85" s="576" t="s">
        <v>36</v>
      </c>
      <c r="B85" s="577"/>
      <c r="C85" s="577"/>
      <c r="D85" s="577"/>
      <c r="E85" s="577"/>
      <c r="F85" s="577"/>
      <c r="G85" s="577"/>
      <c r="H85" s="577"/>
      <c r="I85" s="577"/>
      <c r="J85" s="577"/>
      <c r="K85" s="577"/>
      <c r="L85" s="577"/>
      <c r="M85" s="577"/>
      <c r="N85" s="577"/>
      <c r="O85" s="577"/>
      <c r="P85" s="577"/>
      <c r="Q85" s="577"/>
      <c r="R85" s="577"/>
      <c r="S85" s="577"/>
      <c r="T85" s="577"/>
      <c r="U85" s="577"/>
      <c r="V85" s="577"/>
      <c r="W85" s="577"/>
      <c r="X85" s="577"/>
      <c r="Y85" s="578"/>
      <c r="Z85" s="15"/>
    </row>
    <row r="86" spans="1:26">
      <c r="A86" s="69"/>
      <c r="B86" s="68" t="s">
        <v>23</v>
      </c>
      <c r="C86" s="67" t="s">
        <v>22</v>
      </c>
      <c r="D86" s="112" t="s">
        <v>21</v>
      </c>
      <c r="E86" s="67">
        <v>2023</v>
      </c>
      <c r="F86" s="67">
        <v>2024</v>
      </c>
      <c r="G86" s="67">
        <v>2025</v>
      </c>
      <c r="H86" s="67">
        <v>2026</v>
      </c>
      <c r="I86" s="67">
        <v>2027</v>
      </c>
      <c r="J86" s="67">
        <v>2028</v>
      </c>
      <c r="K86" s="67">
        <v>2029</v>
      </c>
      <c r="L86" s="67">
        <v>2030</v>
      </c>
      <c r="M86" s="67">
        <v>2031</v>
      </c>
      <c r="N86" s="67" t="s">
        <v>417</v>
      </c>
      <c r="O86" s="67">
        <v>2033</v>
      </c>
      <c r="P86" s="67">
        <v>2034</v>
      </c>
      <c r="Q86" s="67">
        <v>2035</v>
      </c>
      <c r="R86" s="67">
        <v>2036</v>
      </c>
      <c r="S86" s="67">
        <v>2037</v>
      </c>
      <c r="T86" s="67">
        <v>2038</v>
      </c>
      <c r="U86" s="67">
        <v>2039</v>
      </c>
      <c r="V86" s="67">
        <v>2040</v>
      </c>
      <c r="W86" s="67">
        <v>2041</v>
      </c>
      <c r="X86" s="67">
        <v>2042</v>
      </c>
      <c r="Y86" s="66">
        <v>2043</v>
      </c>
      <c r="Z86" s="15"/>
    </row>
    <row r="87" spans="1:26" ht="15" thickBot="1">
      <c r="A87" s="61" t="s">
        <v>105</v>
      </c>
      <c r="B87" s="65"/>
      <c r="C87" s="64"/>
      <c r="D87" s="64"/>
      <c r="E87" s="196">
        <f>E45</f>
        <v>108</v>
      </c>
      <c r="F87" s="196">
        <f t="shared" ref="F87:Y87" si="26">F45</f>
        <v>216</v>
      </c>
      <c r="G87" s="196">
        <f t="shared" si="26"/>
        <v>324</v>
      </c>
      <c r="H87" s="196">
        <f t="shared" si="26"/>
        <v>432</v>
      </c>
      <c r="I87" s="196">
        <f t="shared" si="26"/>
        <v>540</v>
      </c>
      <c r="J87" s="196">
        <f t="shared" si="26"/>
        <v>540</v>
      </c>
      <c r="K87" s="196">
        <f t="shared" si="26"/>
        <v>540</v>
      </c>
      <c r="L87" s="196">
        <f t="shared" si="26"/>
        <v>540</v>
      </c>
      <c r="M87" s="196">
        <f t="shared" si="26"/>
        <v>540</v>
      </c>
      <c r="N87" s="196">
        <f t="shared" si="26"/>
        <v>540</v>
      </c>
      <c r="O87" s="196">
        <f t="shared" si="26"/>
        <v>540</v>
      </c>
      <c r="P87" s="196">
        <f t="shared" si="26"/>
        <v>540</v>
      </c>
      <c r="Q87" s="196">
        <f t="shared" si="26"/>
        <v>540</v>
      </c>
      <c r="R87" s="196">
        <f t="shared" si="26"/>
        <v>540</v>
      </c>
      <c r="S87" s="196">
        <f t="shared" si="26"/>
        <v>540</v>
      </c>
      <c r="T87" s="196">
        <f t="shared" si="26"/>
        <v>540</v>
      </c>
      <c r="U87" s="196">
        <f t="shared" si="26"/>
        <v>540</v>
      </c>
      <c r="V87" s="196">
        <f t="shared" si="26"/>
        <v>540</v>
      </c>
      <c r="W87" s="196">
        <f t="shared" si="26"/>
        <v>540</v>
      </c>
      <c r="X87" s="196">
        <f t="shared" si="26"/>
        <v>540</v>
      </c>
      <c r="Y87" s="196">
        <f t="shared" si="26"/>
        <v>540</v>
      </c>
      <c r="Z87" s="15"/>
    </row>
    <row r="88" spans="1:26" ht="15" thickBot="1">
      <c r="A88" s="85" t="s">
        <v>98</v>
      </c>
      <c r="B88" s="51" t="s">
        <v>96</v>
      </c>
      <c r="C88" s="197"/>
      <c r="D88" s="47" t="s">
        <v>0</v>
      </c>
      <c r="E88" s="346">
        <f>E87*E69</f>
        <v>3956.988672</v>
      </c>
      <c r="F88" s="346">
        <f t="shared" ref="F88:Y88" si="27">F87*F69</f>
        <v>7913.9773439999999</v>
      </c>
      <c r="G88" s="346">
        <f t="shared" si="27"/>
        <v>11870.966016</v>
      </c>
      <c r="H88" s="346">
        <f t="shared" si="27"/>
        <v>15827.954688</v>
      </c>
      <c r="I88" s="346">
        <f t="shared" si="27"/>
        <v>19784.943360000001</v>
      </c>
      <c r="J88" s="346">
        <f t="shared" si="27"/>
        <v>19784.943360000001</v>
      </c>
      <c r="K88" s="346">
        <f t="shared" si="27"/>
        <v>19784.943360000001</v>
      </c>
      <c r="L88" s="346">
        <f t="shared" si="27"/>
        <v>19784.943360000001</v>
      </c>
      <c r="M88" s="346">
        <f t="shared" si="27"/>
        <v>19784.943360000001</v>
      </c>
      <c r="N88" s="346">
        <f t="shared" si="27"/>
        <v>19784.943360000001</v>
      </c>
      <c r="O88" s="346">
        <f t="shared" si="27"/>
        <v>19784.943360000001</v>
      </c>
      <c r="P88" s="346">
        <f t="shared" si="27"/>
        <v>19784.943360000001</v>
      </c>
      <c r="Q88" s="346">
        <f t="shared" si="27"/>
        <v>19784.943360000001</v>
      </c>
      <c r="R88" s="346">
        <f t="shared" si="27"/>
        <v>19784.943360000001</v>
      </c>
      <c r="S88" s="346">
        <f t="shared" si="27"/>
        <v>19784.943360000001</v>
      </c>
      <c r="T88" s="346">
        <f t="shared" si="27"/>
        <v>19784.943360000001</v>
      </c>
      <c r="U88" s="346">
        <f t="shared" si="27"/>
        <v>19784.943360000001</v>
      </c>
      <c r="V88" s="346">
        <f t="shared" si="27"/>
        <v>19784.943360000001</v>
      </c>
      <c r="W88" s="346">
        <f t="shared" si="27"/>
        <v>19784.943360000001</v>
      </c>
      <c r="X88" s="346">
        <f t="shared" si="27"/>
        <v>19784.943360000001</v>
      </c>
      <c r="Y88" s="346">
        <f t="shared" si="27"/>
        <v>19784.943360000001</v>
      </c>
      <c r="Z88" s="15"/>
    </row>
    <row r="89" spans="1:26" ht="15.75" thickBot="1">
      <c r="A89" s="85" t="s">
        <v>97</v>
      </c>
      <c r="B89" s="51" t="s">
        <v>64</v>
      </c>
      <c r="C89" s="58"/>
      <c r="D89" s="47" t="s">
        <v>0</v>
      </c>
      <c r="E89" s="346">
        <f>E70*E87</f>
        <v>1299018.103366022</v>
      </c>
      <c r="F89" s="346">
        <f>F70*F87</f>
        <v>2598036.206732044</v>
      </c>
      <c r="G89" s="346">
        <f t="shared" ref="G89:Y89" si="28">G70*G87</f>
        <v>3897054.310098066</v>
      </c>
      <c r="H89" s="346">
        <f t="shared" si="28"/>
        <v>5196072.413464088</v>
      </c>
      <c r="I89" s="346">
        <f t="shared" si="28"/>
        <v>6495090.51683011</v>
      </c>
      <c r="J89" s="346">
        <f t="shared" si="28"/>
        <v>6495090.51683011</v>
      </c>
      <c r="K89" s="346">
        <f t="shared" si="28"/>
        <v>6495090.51683011</v>
      </c>
      <c r="L89" s="346">
        <f t="shared" si="28"/>
        <v>6495090.51683011</v>
      </c>
      <c r="M89" s="346">
        <f t="shared" si="28"/>
        <v>6495090.51683011</v>
      </c>
      <c r="N89" s="346">
        <f t="shared" si="28"/>
        <v>6495090.51683011</v>
      </c>
      <c r="O89" s="346">
        <f t="shared" si="28"/>
        <v>6495090.51683011</v>
      </c>
      <c r="P89" s="346">
        <f t="shared" si="28"/>
        <v>6495090.51683011</v>
      </c>
      <c r="Q89" s="346">
        <f t="shared" si="28"/>
        <v>6495090.51683011</v>
      </c>
      <c r="R89" s="346">
        <f t="shared" si="28"/>
        <v>6495090.51683011</v>
      </c>
      <c r="S89" s="346">
        <f t="shared" si="28"/>
        <v>6495090.51683011</v>
      </c>
      <c r="T89" s="346">
        <f t="shared" si="28"/>
        <v>6495090.51683011</v>
      </c>
      <c r="U89" s="346">
        <f t="shared" si="28"/>
        <v>6495090.51683011</v>
      </c>
      <c r="V89" s="346">
        <f t="shared" si="28"/>
        <v>6495090.51683011</v>
      </c>
      <c r="W89" s="346">
        <f t="shared" si="28"/>
        <v>6495090.51683011</v>
      </c>
      <c r="X89" s="346">
        <f t="shared" si="28"/>
        <v>6495090.51683011</v>
      </c>
      <c r="Y89" s="346">
        <f t="shared" si="28"/>
        <v>6495090.51683011</v>
      </c>
      <c r="Z89" s="15"/>
    </row>
    <row r="90" spans="1:26" ht="15" thickBot="1">
      <c r="A90" s="50" t="s">
        <v>19</v>
      </c>
      <c r="B90" s="48"/>
      <c r="C90" s="48"/>
      <c r="D90" s="47" t="s">
        <v>0</v>
      </c>
      <c r="E90" s="346">
        <f>SUM(E88:E89)</f>
        <v>1302975.0920380219</v>
      </c>
      <c r="F90" s="346">
        <f t="shared" ref="F90:Y90" si="29">SUM(F88:F89)</f>
        <v>2605950.1840760438</v>
      </c>
      <c r="G90" s="346">
        <f t="shared" si="29"/>
        <v>3908925.2761140661</v>
      </c>
      <c r="H90" s="346">
        <f t="shared" si="29"/>
        <v>5211900.3681520876</v>
      </c>
      <c r="I90" s="346">
        <f t="shared" si="29"/>
        <v>6514875.4601901099</v>
      </c>
      <c r="J90" s="346">
        <f t="shared" si="29"/>
        <v>6514875.4601901099</v>
      </c>
      <c r="K90" s="346">
        <f t="shared" si="29"/>
        <v>6514875.4601901099</v>
      </c>
      <c r="L90" s="346">
        <f t="shared" si="29"/>
        <v>6514875.4601901099</v>
      </c>
      <c r="M90" s="346">
        <f t="shared" si="29"/>
        <v>6514875.4601901099</v>
      </c>
      <c r="N90" s="346">
        <f t="shared" si="29"/>
        <v>6514875.4601901099</v>
      </c>
      <c r="O90" s="346">
        <f t="shared" si="29"/>
        <v>6514875.4601901099</v>
      </c>
      <c r="P90" s="346">
        <f t="shared" si="29"/>
        <v>6514875.4601901099</v>
      </c>
      <c r="Q90" s="346">
        <f t="shared" si="29"/>
        <v>6514875.4601901099</v>
      </c>
      <c r="R90" s="346">
        <f t="shared" si="29"/>
        <v>6514875.4601901099</v>
      </c>
      <c r="S90" s="346">
        <f t="shared" si="29"/>
        <v>6514875.4601901099</v>
      </c>
      <c r="T90" s="346">
        <f t="shared" si="29"/>
        <v>6514875.4601901099</v>
      </c>
      <c r="U90" s="346">
        <f t="shared" si="29"/>
        <v>6514875.4601901099</v>
      </c>
      <c r="V90" s="346">
        <f t="shared" si="29"/>
        <v>6514875.4601901099</v>
      </c>
      <c r="W90" s="346">
        <f t="shared" si="29"/>
        <v>6514875.4601901099</v>
      </c>
      <c r="X90" s="346">
        <f t="shared" si="29"/>
        <v>6514875.4601901099</v>
      </c>
      <c r="Y90" s="346">
        <f t="shared" si="29"/>
        <v>6514875.4601901099</v>
      </c>
      <c r="Z90" s="15"/>
    </row>
    <row r="91" spans="1:26" ht="15" thickBot="1">
      <c r="A91" s="53" t="s">
        <v>18</v>
      </c>
      <c r="B91" s="52"/>
      <c r="C91" s="52"/>
      <c r="D91" s="54"/>
      <c r="E91" s="346"/>
      <c r="F91" s="346"/>
      <c r="G91" s="346"/>
      <c r="H91" s="346"/>
      <c r="I91" s="346"/>
      <c r="J91" s="346"/>
      <c r="K91" s="346"/>
      <c r="L91" s="346"/>
      <c r="M91" s="346"/>
      <c r="N91" s="346"/>
      <c r="O91" s="346"/>
      <c r="P91" s="346"/>
      <c r="Q91" s="346"/>
      <c r="R91" s="346"/>
      <c r="S91" s="346"/>
      <c r="T91" s="346"/>
      <c r="U91" s="346"/>
      <c r="V91" s="346"/>
      <c r="W91" s="346"/>
      <c r="X91" s="346"/>
      <c r="Y91" s="346"/>
      <c r="Z91" s="15"/>
    </row>
    <row r="92" spans="1:26" ht="15" thickBot="1">
      <c r="A92" s="85" t="s">
        <v>34</v>
      </c>
      <c r="B92" s="52"/>
      <c r="C92" s="52"/>
      <c r="D92" s="47" t="s">
        <v>0</v>
      </c>
      <c r="E92" s="346">
        <f>E87*$E$73</f>
        <v>171116.88311688317</v>
      </c>
      <c r="F92" s="346">
        <f>F87*$E$73-E92</f>
        <v>171116.88311688317</v>
      </c>
      <c r="G92" s="346">
        <f>G87*$E$73-F92-E92</f>
        <v>171116.88311688317</v>
      </c>
      <c r="H92" s="346">
        <f>H87*$E$73-G92-F92-E92</f>
        <v>171116.88311688317</v>
      </c>
      <c r="I92" s="346">
        <f>I87*$E$73-H92-G92-F92-E92</f>
        <v>171116.88311688317</v>
      </c>
      <c r="J92" s="346">
        <f>J87*$E$73-I92-H92-G92-F92-E92</f>
        <v>0</v>
      </c>
      <c r="K92" s="346"/>
      <c r="L92" s="346"/>
      <c r="M92" s="346"/>
      <c r="N92" s="346"/>
      <c r="O92" s="346"/>
      <c r="P92" s="346"/>
      <c r="Q92" s="346"/>
      <c r="R92" s="346"/>
      <c r="S92" s="346"/>
      <c r="T92" s="346"/>
      <c r="U92" s="346"/>
      <c r="V92" s="346"/>
      <c r="W92" s="346"/>
      <c r="X92" s="346"/>
      <c r="Y92" s="346"/>
      <c r="Z92" s="15"/>
    </row>
    <row r="93" spans="1:26" ht="15" thickBot="1">
      <c r="A93" s="85" t="s">
        <v>33</v>
      </c>
      <c r="B93" s="52"/>
      <c r="C93" s="52"/>
      <c r="D93" s="47" t="s">
        <v>0</v>
      </c>
      <c r="E93" s="346">
        <f>E87*E74</f>
        <v>0</v>
      </c>
      <c r="F93" s="346">
        <f t="shared" ref="F93:Y93" si="30">F87*F74</f>
        <v>34223.376623376629</v>
      </c>
      <c r="G93" s="346">
        <f t="shared" si="30"/>
        <v>51335.064935064947</v>
      </c>
      <c r="H93" s="346">
        <f t="shared" si="30"/>
        <v>68446.753246753258</v>
      </c>
      <c r="I93" s="346">
        <f t="shared" si="30"/>
        <v>85558.441558441569</v>
      </c>
      <c r="J93" s="346">
        <f t="shared" si="30"/>
        <v>85558.441558441569</v>
      </c>
      <c r="K93" s="346">
        <f t="shared" si="30"/>
        <v>85558.441558441569</v>
      </c>
      <c r="L93" s="346">
        <f t="shared" si="30"/>
        <v>85558.441558441569</v>
      </c>
      <c r="M93" s="346">
        <f t="shared" si="30"/>
        <v>85558.441558441569</v>
      </c>
      <c r="N93" s="346">
        <f t="shared" si="30"/>
        <v>85558.441558441569</v>
      </c>
      <c r="O93" s="346">
        <f t="shared" si="30"/>
        <v>85558.441558441569</v>
      </c>
      <c r="P93" s="346">
        <f t="shared" si="30"/>
        <v>85558.441558441569</v>
      </c>
      <c r="Q93" s="346">
        <f t="shared" si="30"/>
        <v>85558.441558441569</v>
      </c>
      <c r="R93" s="346">
        <f t="shared" si="30"/>
        <v>85558.441558441569</v>
      </c>
      <c r="S93" s="346">
        <f t="shared" si="30"/>
        <v>85558.441558441569</v>
      </c>
      <c r="T93" s="346">
        <f t="shared" si="30"/>
        <v>85558.441558441569</v>
      </c>
      <c r="U93" s="346">
        <f t="shared" si="30"/>
        <v>85558.441558441569</v>
      </c>
      <c r="V93" s="346">
        <f t="shared" si="30"/>
        <v>85558.441558441569</v>
      </c>
      <c r="W93" s="346">
        <f t="shared" si="30"/>
        <v>85558.441558441569</v>
      </c>
      <c r="X93" s="346">
        <f t="shared" si="30"/>
        <v>85558.441558441569</v>
      </c>
      <c r="Y93" s="346">
        <f t="shared" si="30"/>
        <v>85558.441558441569</v>
      </c>
      <c r="Z93" s="15"/>
    </row>
    <row r="94" spans="1:26" ht="15" thickBot="1">
      <c r="A94" s="50" t="s">
        <v>17</v>
      </c>
      <c r="B94" s="48"/>
      <c r="C94" s="48"/>
      <c r="D94" s="47" t="s">
        <v>0</v>
      </c>
      <c r="E94" s="346">
        <f>SUM(E92:E93)</f>
        <v>171116.88311688317</v>
      </c>
      <c r="F94" s="346">
        <f t="shared" ref="F94:Y94" si="31">SUM(F92:F93)</f>
        <v>205340.25974025979</v>
      </c>
      <c r="G94" s="346">
        <f t="shared" si="31"/>
        <v>222451.9480519481</v>
      </c>
      <c r="H94" s="346">
        <f t="shared" si="31"/>
        <v>239563.63636363641</v>
      </c>
      <c r="I94" s="346">
        <f t="shared" si="31"/>
        <v>256675.32467532472</v>
      </c>
      <c r="J94" s="346">
        <f t="shared" si="31"/>
        <v>85558.441558441569</v>
      </c>
      <c r="K94" s="346">
        <f t="shared" si="31"/>
        <v>85558.441558441569</v>
      </c>
      <c r="L94" s="346">
        <f t="shared" si="31"/>
        <v>85558.441558441569</v>
      </c>
      <c r="M94" s="346">
        <f t="shared" si="31"/>
        <v>85558.441558441569</v>
      </c>
      <c r="N94" s="346">
        <f t="shared" si="31"/>
        <v>85558.441558441569</v>
      </c>
      <c r="O94" s="346">
        <f t="shared" si="31"/>
        <v>85558.441558441569</v>
      </c>
      <c r="P94" s="346">
        <f t="shared" si="31"/>
        <v>85558.441558441569</v>
      </c>
      <c r="Q94" s="346">
        <f t="shared" si="31"/>
        <v>85558.441558441569</v>
      </c>
      <c r="R94" s="346">
        <f t="shared" si="31"/>
        <v>85558.441558441569</v>
      </c>
      <c r="S94" s="346">
        <f t="shared" si="31"/>
        <v>85558.441558441569</v>
      </c>
      <c r="T94" s="346">
        <f t="shared" si="31"/>
        <v>85558.441558441569</v>
      </c>
      <c r="U94" s="346">
        <f t="shared" si="31"/>
        <v>85558.441558441569</v>
      </c>
      <c r="V94" s="346">
        <f t="shared" si="31"/>
        <v>85558.441558441569</v>
      </c>
      <c r="W94" s="346">
        <f t="shared" si="31"/>
        <v>85558.441558441569</v>
      </c>
      <c r="X94" s="346">
        <f t="shared" si="31"/>
        <v>85558.441558441569</v>
      </c>
      <c r="Y94" s="346">
        <f t="shared" si="31"/>
        <v>85558.441558441569</v>
      </c>
      <c r="Z94" s="15"/>
    </row>
    <row r="95" spans="1:26" ht="15" thickBot="1">
      <c r="A95" s="49" t="s">
        <v>16</v>
      </c>
      <c r="B95" s="48"/>
      <c r="C95" s="48"/>
      <c r="D95" s="47" t="s">
        <v>0</v>
      </c>
      <c r="E95" s="346">
        <f t="shared" ref="E95:Y95" si="32">E90-E94</f>
        <v>1131858.2089211387</v>
      </c>
      <c r="F95" s="346">
        <f t="shared" si="32"/>
        <v>2400609.9243357838</v>
      </c>
      <c r="G95" s="346">
        <f t="shared" si="32"/>
        <v>3686473.328062118</v>
      </c>
      <c r="H95" s="346">
        <f t="shared" si="32"/>
        <v>4972336.7317884509</v>
      </c>
      <c r="I95" s="346">
        <f t="shared" si="32"/>
        <v>6258200.1355147855</v>
      </c>
      <c r="J95" s="346">
        <f t="shared" si="32"/>
        <v>6429317.0186316688</v>
      </c>
      <c r="K95" s="346">
        <f t="shared" si="32"/>
        <v>6429317.0186316688</v>
      </c>
      <c r="L95" s="346">
        <f t="shared" si="32"/>
        <v>6429317.0186316688</v>
      </c>
      <c r="M95" s="346">
        <f t="shared" si="32"/>
        <v>6429317.0186316688</v>
      </c>
      <c r="N95" s="346">
        <f t="shared" si="32"/>
        <v>6429317.0186316688</v>
      </c>
      <c r="O95" s="346">
        <f t="shared" si="32"/>
        <v>6429317.0186316688</v>
      </c>
      <c r="P95" s="346">
        <f t="shared" si="32"/>
        <v>6429317.0186316688</v>
      </c>
      <c r="Q95" s="346">
        <f t="shared" si="32"/>
        <v>6429317.0186316688</v>
      </c>
      <c r="R95" s="346">
        <f t="shared" si="32"/>
        <v>6429317.0186316688</v>
      </c>
      <c r="S95" s="346">
        <f t="shared" si="32"/>
        <v>6429317.0186316688</v>
      </c>
      <c r="T95" s="346">
        <f t="shared" si="32"/>
        <v>6429317.0186316688</v>
      </c>
      <c r="U95" s="346">
        <f t="shared" si="32"/>
        <v>6429317.0186316688</v>
      </c>
      <c r="V95" s="346">
        <f t="shared" si="32"/>
        <v>6429317.0186316688</v>
      </c>
      <c r="W95" s="346">
        <f t="shared" si="32"/>
        <v>6429317.0186316688</v>
      </c>
      <c r="X95" s="346">
        <f t="shared" si="32"/>
        <v>6429317.0186316688</v>
      </c>
      <c r="Y95" s="346">
        <f t="shared" si="32"/>
        <v>6429317.0186316688</v>
      </c>
      <c r="Z95" s="15"/>
    </row>
    <row r="96" spans="1:26">
      <c r="A96" s="46"/>
      <c r="B96" s="45"/>
      <c r="C96" s="45"/>
      <c r="D96" s="45"/>
      <c r="E96" s="175"/>
      <c r="F96" s="175"/>
      <c r="G96" s="175"/>
      <c r="H96" s="175"/>
      <c r="I96" s="175"/>
      <c r="J96" s="175"/>
      <c r="K96" s="175"/>
      <c r="L96" s="44"/>
      <c r="M96" s="44"/>
      <c r="N96" s="44"/>
      <c r="O96" s="44"/>
      <c r="P96" s="44"/>
      <c r="Q96" s="44"/>
      <c r="R96" s="44"/>
      <c r="S96" s="44"/>
      <c r="T96" s="44"/>
      <c r="U96" s="44"/>
      <c r="V96" s="44"/>
      <c r="W96" s="44"/>
      <c r="X96" s="43"/>
      <c r="Y96" s="42"/>
      <c r="Z96" s="15"/>
    </row>
    <row r="97" spans="1:26">
      <c r="A97" s="41"/>
      <c r="B97" s="40"/>
      <c r="C97" s="40"/>
      <c r="D97" s="40"/>
      <c r="E97" s="176"/>
      <c r="F97" s="176"/>
      <c r="G97" s="176"/>
      <c r="H97" s="176"/>
      <c r="I97" s="176"/>
      <c r="J97" s="176"/>
      <c r="K97" s="176"/>
      <c r="L97" s="37"/>
      <c r="M97" s="37"/>
      <c r="N97" s="37"/>
      <c r="O97" s="37"/>
      <c r="P97" s="37"/>
      <c r="Q97" s="37"/>
      <c r="R97" s="37"/>
      <c r="S97" s="37"/>
      <c r="T97" s="37"/>
      <c r="U97" s="37"/>
      <c r="V97" s="37"/>
      <c r="W97" s="37"/>
      <c r="X97" s="36"/>
      <c r="Y97" s="35"/>
      <c r="Z97" s="15"/>
    </row>
    <row r="98" spans="1:26" ht="15" thickBot="1">
      <c r="A98" s="39"/>
      <c r="B98" s="38"/>
      <c r="C98" s="38"/>
      <c r="D98" s="38"/>
      <c r="E98" s="176"/>
      <c r="F98" s="176"/>
      <c r="G98" s="176"/>
      <c r="H98" s="176"/>
      <c r="I98" s="176"/>
      <c r="J98" s="176"/>
      <c r="K98" s="176"/>
      <c r="L98" s="37"/>
      <c r="M98" s="37"/>
      <c r="N98" s="37"/>
      <c r="O98" s="37"/>
      <c r="P98" s="37"/>
      <c r="Q98" s="37"/>
      <c r="R98" s="37"/>
      <c r="S98" s="37"/>
      <c r="T98" s="37"/>
      <c r="U98" s="37"/>
      <c r="V98" s="37"/>
      <c r="W98" s="37"/>
      <c r="X98" s="36"/>
      <c r="Y98" s="35"/>
      <c r="Z98" s="15"/>
    </row>
    <row r="99" spans="1:26" ht="15" thickBot="1">
      <c r="A99" s="596" t="s">
        <v>35</v>
      </c>
      <c r="B99" s="597"/>
      <c r="C99" s="597"/>
      <c r="D99" s="598"/>
      <c r="E99" s="140"/>
      <c r="F99" s="177"/>
      <c r="G99" s="177"/>
      <c r="H99" s="177"/>
      <c r="I99" s="177"/>
      <c r="J99" s="177"/>
      <c r="K99" s="177"/>
      <c r="L99" s="33"/>
      <c r="M99" s="33"/>
      <c r="N99" s="33"/>
      <c r="O99" s="33"/>
      <c r="P99" s="33"/>
      <c r="Q99" s="33"/>
      <c r="R99" s="33"/>
      <c r="S99" s="33"/>
      <c r="T99" s="33"/>
      <c r="U99" s="33"/>
      <c r="V99" s="33"/>
      <c r="W99" s="33"/>
      <c r="X99" s="32"/>
      <c r="Y99" s="31"/>
      <c r="Z99" s="15"/>
    </row>
    <row r="100" spans="1:26" ht="15" thickBot="1">
      <c r="A100" s="601" t="s">
        <v>15</v>
      </c>
      <c r="B100" s="602"/>
      <c r="C100" s="602"/>
      <c r="D100" s="392">
        <f>D79</f>
        <v>0.06</v>
      </c>
      <c r="E100" s="178"/>
      <c r="F100" s="179"/>
      <c r="G100" s="179"/>
      <c r="H100" s="179"/>
      <c r="I100" s="179"/>
      <c r="J100" s="179"/>
      <c r="K100" s="179"/>
      <c r="L100" s="23"/>
      <c r="M100" s="23"/>
      <c r="N100" s="23"/>
      <c r="O100" s="23"/>
      <c r="P100" s="23"/>
      <c r="Q100" s="23"/>
      <c r="R100" s="23"/>
      <c r="S100" s="23"/>
      <c r="T100" s="23"/>
      <c r="U100" s="23"/>
      <c r="V100" s="23"/>
      <c r="W100" s="23"/>
      <c r="X100" s="22"/>
      <c r="Y100" s="21"/>
      <c r="Z100" s="15"/>
    </row>
    <row r="101" spans="1:26" ht="15" thickBot="1">
      <c r="A101" s="601" t="s">
        <v>14</v>
      </c>
      <c r="B101" s="602"/>
      <c r="C101" s="602"/>
      <c r="D101" s="603"/>
      <c r="E101" s="137"/>
      <c r="F101" s="179"/>
      <c r="G101" s="179"/>
      <c r="H101" s="179"/>
      <c r="I101" s="179"/>
      <c r="J101" s="179"/>
      <c r="K101" s="179"/>
      <c r="L101" s="23"/>
      <c r="M101" s="23"/>
      <c r="N101" s="23"/>
      <c r="O101" s="23"/>
      <c r="P101" s="23"/>
      <c r="Q101" s="23"/>
      <c r="R101" s="23"/>
      <c r="S101" s="23"/>
      <c r="T101" s="23"/>
      <c r="U101" s="23"/>
      <c r="V101" s="23"/>
      <c r="W101" s="23"/>
      <c r="X101" s="22"/>
      <c r="Y101" s="21"/>
      <c r="Z101" s="15"/>
    </row>
    <row r="102" spans="1:26" ht="15" thickBot="1">
      <c r="A102" s="594" t="s">
        <v>13</v>
      </c>
      <c r="B102" s="595"/>
      <c r="C102" s="595"/>
      <c r="D102" s="393">
        <f>NPV(D100,E95:Y95)</f>
        <v>63466962.612238564</v>
      </c>
      <c r="E102" s="24" t="s">
        <v>0</v>
      </c>
      <c r="F102" s="23"/>
      <c r="G102" s="23"/>
      <c r="H102" s="23"/>
      <c r="I102" s="23"/>
      <c r="J102" s="23"/>
      <c r="K102" s="23"/>
      <c r="L102" s="23"/>
      <c r="M102" s="23"/>
      <c r="N102" s="23"/>
      <c r="O102" s="23"/>
      <c r="P102" s="23"/>
      <c r="Q102" s="23"/>
      <c r="R102" s="23"/>
      <c r="S102" s="23"/>
      <c r="T102" s="23"/>
      <c r="U102" s="23"/>
      <c r="V102" s="23"/>
      <c r="W102" s="23"/>
      <c r="X102" s="22"/>
      <c r="Y102" s="21"/>
      <c r="Z102" s="15"/>
    </row>
    <row r="103" spans="1:26" ht="15" thickBot="1">
      <c r="A103" s="594" t="s">
        <v>12</v>
      </c>
      <c r="B103" s="595"/>
      <c r="C103" s="595"/>
      <c r="D103" s="394" t="e">
        <f>IRR(E95:Y95)</f>
        <v>#DIV/0!</v>
      </c>
      <c r="E103" s="26" t="s">
        <v>3</v>
      </c>
      <c r="F103" s="23"/>
      <c r="G103" s="23"/>
      <c r="H103" s="23"/>
      <c r="I103" s="23"/>
      <c r="J103" s="23"/>
      <c r="K103" s="23"/>
      <c r="L103" s="23"/>
      <c r="M103" s="23"/>
      <c r="N103" s="23"/>
      <c r="O103" s="23"/>
      <c r="P103" s="23"/>
      <c r="Q103" s="23"/>
      <c r="R103" s="23"/>
      <c r="S103" s="23"/>
      <c r="T103" s="23"/>
      <c r="U103" s="23"/>
      <c r="V103" s="23"/>
      <c r="W103" s="23"/>
      <c r="X103" s="22"/>
      <c r="Y103" s="21"/>
      <c r="Z103" s="15"/>
    </row>
    <row r="104" spans="1:26" ht="15" thickBot="1">
      <c r="A104" s="594" t="s">
        <v>11</v>
      </c>
      <c r="B104" s="595"/>
      <c r="C104" s="595"/>
      <c r="D104" s="394" t="e">
        <f>MIRR(E95:Y95,D100,D100)</f>
        <v>#DIV/0!</v>
      </c>
      <c r="E104" s="24" t="s">
        <v>3</v>
      </c>
      <c r="F104" s="23"/>
      <c r="G104" s="23"/>
      <c r="H104" s="23"/>
      <c r="I104" s="23"/>
      <c r="J104" s="23"/>
      <c r="K104" s="23"/>
      <c r="L104" s="23"/>
      <c r="M104" s="23"/>
      <c r="N104" s="23"/>
      <c r="O104" s="23"/>
      <c r="P104" s="23"/>
      <c r="Q104" s="23"/>
      <c r="R104" s="23"/>
      <c r="S104" s="23"/>
      <c r="T104" s="23"/>
      <c r="U104" s="23"/>
      <c r="V104" s="23"/>
      <c r="W104" s="23"/>
      <c r="X104" s="22"/>
      <c r="Y104" s="21"/>
      <c r="Z104" s="15"/>
    </row>
    <row r="105" spans="1:26" ht="15" thickBot="1">
      <c r="A105" s="344" t="s">
        <v>202</v>
      </c>
      <c r="B105" s="345"/>
      <c r="C105" s="345"/>
      <c r="D105" s="395">
        <f>SUM(E90:Y90)/SUM(E94:Y94)</f>
        <v>50.234763955603889</v>
      </c>
      <c r="E105" s="388"/>
      <c r="F105" s="389"/>
      <c r="G105" s="389"/>
      <c r="H105" s="389"/>
      <c r="I105" s="389"/>
      <c r="J105" s="389"/>
      <c r="K105" s="389"/>
      <c r="L105" s="389"/>
      <c r="M105" s="389"/>
      <c r="N105" s="389"/>
      <c r="O105" s="389"/>
      <c r="P105" s="389"/>
      <c r="Q105" s="389"/>
      <c r="R105" s="389"/>
      <c r="S105" s="389"/>
      <c r="T105" s="389"/>
      <c r="U105" s="389"/>
      <c r="V105" s="389"/>
      <c r="W105" s="389"/>
      <c r="X105" s="390"/>
      <c r="Y105" s="391"/>
      <c r="Z105" s="15"/>
    </row>
    <row r="106" spans="1:26" ht="15" thickBot="1">
      <c r="A106" s="20"/>
      <c r="B106" s="19"/>
      <c r="C106" s="19"/>
      <c r="D106" s="19"/>
      <c r="E106" s="18"/>
      <c r="F106" s="18"/>
      <c r="G106" s="18"/>
      <c r="H106" s="18"/>
      <c r="I106" s="18"/>
      <c r="J106" s="18"/>
      <c r="K106" s="18"/>
      <c r="L106" s="18"/>
      <c r="M106" s="18"/>
      <c r="N106" s="18"/>
      <c r="O106" s="18"/>
      <c r="P106" s="18"/>
      <c r="Q106" s="18"/>
      <c r="R106" s="18"/>
      <c r="S106" s="18"/>
      <c r="T106" s="18"/>
      <c r="U106" s="18"/>
      <c r="V106" s="18"/>
      <c r="W106" s="18"/>
      <c r="X106" s="17"/>
      <c r="Y106" s="16"/>
      <c r="Z106" s="15"/>
    </row>
    <row r="109" spans="1:26" s="360" customFormat="1" ht="12.75" customHeight="1" thickBot="1">
      <c r="B109" s="361" t="s">
        <v>197</v>
      </c>
      <c r="C109" s="362"/>
      <c r="D109" s="362"/>
      <c r="E109" s="362"/>
      <c r="F109" s="362"/>
      <c r="G109" s="362"/>
      <c r="H109" s="362"/>
      <c r="I109" s="362"/>
      <c r="J109" s="362"/>
      <c r="K109" s="362"/>
      <c r="L109" s="362"/>
      <c r="M109" s="362"/>
      <c r="N109" s="362"/>
      <c r="O109" s="362"/>
      <c r="P109" s="362"/>
      <c r="Q109" s="362"/>
      <c r="R109" s="362"/>
      <c r="S109" s="362"/>
      <c r="T109" s="362"/>
      <c r="U109" s="362"/>
      <c r="V109" s="363"/>
      <c r="W109" s="364"/>
      <c r="X109" s="365"/>
    </row>
    <row r="110" spans="1:26" s="360" customFormat="1" ht="12.75">
      <c r="B110" s="366" t="s">
        <v>198</v>
      </c>
      <c r="C110" s="367">
        <v>0</v>
      </c>
      <c r="D110" s="368">
        <v>1</v>
      </c>
      <c r="E110" s="368">
        <v>2</v>
      </c>
      <c r="F110" s="368">
        <v>3</v>
      </c>
      <c r="G110" s="368">
        <v>4</v>
      </c>
      <c r="H110" s="368">
        <v>5</v>
      </c>
      <c r="I110" s="368">
        <v>6</v>
      </c>
      <c r="J110" s="368">
        <v>7</v>
      </c>
      <c r="K110" s="368">
        <v>8</v>
      </c>
      <c r="L110" s="368">
        <v>9</v>
      </c>
      <c r="M110" s="368">
        <v>10</v>
      </c>
      <c r="N110" s="368">
        <v>11</v>
      </c>
      <c r="O110" s="368">
        <v>12</v>
      </c>
      <c r="P110" s="368">
        <v>13</v>
      </c>
      <c r="Q110" s="368">
        <v>14</v>
      </c>
      <c r="R110" s="368">
        <v>15</v>
      </c>
      <c r="S110" s="368">
        <v>16</v>
      </c>
      <c r="T110" s="368">
        <v>17</v>
      </c>
      <c r="U110" s="368">
        <v>18</v>
      </c>
      <c r="V110" s="368">
        <v>19</v>
      </c>
      <c r="W110" s="369">
        <v>20</v>
      </c>
      <c r="X110" s="365"/>
    </row>
    <row r="111" spans="1:26" s="360" customFormat="1" ht="12.75">
      <c r="B111" s="366" t="s">
        <v>1</v>
      </c>
      <c r="C111" s="370">
        <f>-SUM(E92:J92)</f>
        <v>-855584.4155844159</v>
      </c>
      <c r="D111" s="371"/>
      <c r="E111" s="371"/>
      <c r="F111" s="371"/>
      <c r="G111" s="371"/>
      <c r="H111" s="371"/>
      <c r="I111" s="371"/>
      <c r="J111" s="371"/>
      <c r="K111" s="371"/>
      <c r="L111" s="371"/>
      <c r="M111" s="371"/>
      <c r="N111" s="371"/>
      <c r="O111" s="371"/>
      <c r="P111" s="371"/>
      <c r="Q111" s="371"/>
      <c r="R111" s="371"/>
      <c r="S111" s="371"/>
      <c r="T111" s="371"/>
      <c r="U111" s="371"/>
      <c r="V111" s="371"/>
      <c r="W111" s="372"/>
      <c r="X111" s="365"/>
    </row>
    <row r="112" spans="1:26" s="360" customFormat="1" ht="12.75">
      <c r="B112" s="366" t="s">
        <v>199</v>
      </c>
      <c r="D112" s="373">
        <f>E90-E93</f>
        <v>1302975.0920380219</v>
      </c>
      <c r="E112" s="373">
        <f>F90-F93</f>
        <v>2571726.807452667</v>
      </c>
      <c r="F112" s="373">
        <f t="shared" ref="F112:G112" si="33">G90-G93</f>
        <v>3857590.2111790013</v>
      </c>
      <c r="G112" s="373">
        <f t="shared" si="33"/>
        <v>5143453.6149053341</v>
      </c>
      <c r="H112" s="373">
        <f>I90-I93</f>
        <v>6429317.0186316688</v>
      </c>
      <c r="I112" s="373">
        <f>J90-J93</f>
        <v>6429317.0186316688</v>
      </c>
      <c r="J112" s="373">
        <f t="shared" ref="J112:W112" si="34">K90</f>
        <v>6514875.4601901099</v>
      </c>
      <c r="K112" s="373">
        <f t="shared" si="34"/>
        <v>6514875.4601901099</v>
      </c>
      <c r="L112" s="373">
        <f t="shared" si="34"/>
        <v>6514875.4601901099</v>
      </c>
      <c r="M112" s="373">
        <f t="shared" si="34"/>
        <v>6514875.4601901099</v>
      </c>
      <c r="N112" s="373">
        <f t="shared" si="34"/>
        <v>6514875.4601901099</v>
      </c>
      <c r="O112" s="373">
        <f t="shared" si="34"/>
        <v>6514875.4601901099</v>
      </c>
      <c r="P112" s="373">
        <f t="shared" si="34"/>
        <v>6514875.4601901099</v>
      </c>
      <c r="Q112" s="373">
        <f t="shared" si="34"/>
        <v>6514875.4601901099</v>
      </c>
      <c r="R112" s="373">
        <f t="shared" si="34"/>
        <v>6514875.4601901099</v>
      </c>
      <c r="S112" s="373">
        <f t="shared" si="34"/>
        <v>6514875.4601901099</v>
      </c>
      <c r="T112" s="373">
        <f t="shared" si="34"/>
        <v>6514875.4601901099</v>
      </c>
      <c r="U112" s="373">
        <f t="shared" si="34"/>
        <v>6514875.4601901099</v>
      </c>
      <c r="V112" s="373">
        <f t="shared" si="34"/>
        <v>6514875.4601901099</v>
      </c>
      <c r="W112" s="373">
        <f t="shared" si="34"/>
        <v>6514875.4601901099</v>
      </c>
      <c r="X112" s="365"/>
    </row>
    <row r="113" spans="1:24" s="360" customFormat="1" ht="13.5" thickBot="1">
      <c r="B113" s="366" t="s">
        <v>200</v>
      </c>
      <c r="C113" s="374">
        <f>C111</f>
        <v>-855584.4155844159</v>
      </c>
      <c r="D113" s="375">
        <f>D112+C113</f>
        <v>447390.67645360599</v>
      </c>
      <c r="E113" s="375">
        <f>E112+D113</f>
        <v>3019117.4839062728</v>
      </c>
      <c r="F113" s="375">
        <f>F112+E113</f>
        <v>6876707.6950852741</v>
      </c>
      <c r="G113" s="375">
        <f t="shared" ref="G113:W113" si="35">G112+F113</f>
        <v>12020161.309990607</v>
      </c>
      <c r="H113" s="375">
        <f t="shared" si="35"/>
        <v>18449478.328622274</v>
      </c>
      <c r="I113" s="375">
        <f t="shared" si="35"/>
        <v>24878795.347253941</v>
      </c>
      <c r="J113" s="375">
        <f t="shared" si="35"/>
        <v>31393670.807444051</v>
      </c>
      <c r="K113" s="375">
        <f t="shared" si="35"/>
        <v>37908546.267634161</v>
      </c>
      <c r="L113" s="375">
        <f t="shared" si="35"/>
        <v>44423421.727824271</v>
      </c>
      <c r="M113" s="375">
        <f t="shared" si="35"/>
        <v>50938297.188014381</v>
      </c>
      <c r="N113" s="375">
        <f t="shared" si="35"/>
        <v>57453172.648204491</v>
      </c>
      <c r="O113" s="375">
        <f t="shared" si="35"/>
        <v>63968048.1083946</v>
      </c>
      <c r="P113" s="375">
        <f t="shared" si="35"/>
        <v>70482923.56858471</v>
      </c>
      <c r="Q113" s="375">
        <f t="shared" si="35"/>
        <v>76997799.028774828</v>
      </c>
      <c r="R113" s="375">
        <f t="shared" si="35"/>
        <v>83512674.488964945</v>
      </c>
      <c r="S113" s="375">
        <f t="shared" si="35"/>
        <v>90027549.949155062</v>
      </c>
      <c r="T113" s="375">
        <f t="shared" si="35"/>
        <v>96542425.40934518</v>
      </c>
      <c r="U113" s="375">
        <f t="shared" si="35"/>
        <v>103057300.8695353</v>
      </c>
      <c r="V113" s="375">
        <f t="shared" si="35"/>
        <v>109572176.32972541</v>
      </c>
      <c r="W113" s="376">
        <f t="shared" si="35"/>
        <v>116087051.78991553</v>
      </c>
      <c r="X113" s="365"/>
    </row>
    <row r="114" spans="1:24" s="385" customFormat="1">
      <c r="A114" s="377"/>
      <c r="B114" s="378"/>
      <c r="C114" s="379"/>
      <c r="D114" s="380"/>
      <c r="E114" s="381"/>
      <c r="F114" s="381"/>
      <c r="G114" s="381"/>
      <c r="H114" s="381"/>
      <c r="I114" s="381"/>
      <c r="J114" s="381"/>
      <c r="K114" s="381"/>
      <c r="L114" s="381"/>
      <c r="M114" s="381"/>
      <c r="N114" s="381"/>
      <c r="O114" s="381"/>
      <c r="P114" s="381"/>
      <c r="Q114" s="381"/>
      <c r="R114" s="381"/>
      <c r="S114" s="381"/>
      <c r="T114" s="381"/>
      <c r="U114" s="381"/>
      <c r="V114" s="382"/>
      <c r="W114" s="383"/>
      <c r="X114" s="384"/>
    </row>
    <row r="115" spans="1:24" s="385" customFormat="1" ht="15" thickBot="1">
      <c r="B115" s="386" t="s">
        <v>201</v>
      </c>
      <c r="C115" s="387">
        <f>5+-H113/I112</f>
        <v>2.1304139654092187</v>
      </c>
      <c r="D115" s="384"/>
      <c r="V115" s="378"/>
      <c r="W115" s="383"/>
      <c r="X115" s="384"/>
    </row>
  </sheetData>
  <mergeCells count="37">
    <mergeCell ref="B1:J1"/>
    <mergeCell ref="A36:D36"/>
    <mergeCell ref="A19:D19"/>
    <mergeCell ref="A20:C20"/>
    <mergeCell ref="A21:C21"/>
    <mergeCell ref="A22:C22"/>
    <mergeCell ref="A24:Y24"/>
    <mergeCell ref="A4:Y4"/>
    <mergeCell ref="A17:D17"/>
    <mergeCell ref="A18:C18"/>
    <mergeCell ref="A79:C79"/>
    <mergeCell ref="A104:C104"/>
    <mergeCell ref="A82:C82"/>
    <mergeCell ref="A83:C83"/>
    <mergeCell ref="A85:Y85"/>
    <mergeCell ref="A99:D99"/>
    <mergeCell ref="A80:D80"/>
    <mergeCell ref="A100:C100"/>
    <mergeCell ref="A101:D101"/>
    <mergeCell ref="A102:C102"/>
    <mergeCell ref="A103:C103"/>
    <mergeCell ref="A81:C81"/>
    <mergeCell ref="A64:Y64"/>
    <mergeCell ref="A58:D58"/>
    <mergeCell ref="A59:C59"/>
    <mergeCell ref="A60:C60"/>
    <mergeCell ref="A78:D78"/>
    <mergeCell ref="A61:C61"/>
    <mergeCell ref="A65:Y65"/>
    <mergeCell ref="A43:Y43"/>
    <mergeCell ref="A56:D56"/>
    <mergeCell ref="A57:C57"/>
    <mergeCell ref="A37:C37"/>
    <mergeCell ref="A38:D38"/>
    <mergeCell ref="A39:C39"/>
    <mergeCell ref="A40:C40"/>
    <mergeCell ref="A41:C4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rgb="FFFF0000"/>
  </sheetPr>
  <dimension ref="B2:M4"/>
  <sheetViews>
    <sheetView showGridLines="0" zoomScale="80" zoomScaleNormal="80" workbookViewId="0">
      <selection activeCell="K4" sqref="K4"/>
    </sheetView>
  </sheetViews>
  <sheetFormatPr defaultRowHeight="12.75"/>
  <cols>
    <col min="1" max="1" width="11.7109375" style="349" customWidth="1"/>
    <col min="2" max="2" width="14.42578125" style="349" customWidth="1"/>
    <col min="3" max="3" width="16" style="349" customWidth="1"/>
    <col min="4" max="4" width="16.7109375" style="349" customWidth="1"/>
    <col min="5" max="5" width="14.5703125" style="349" customWidth="1"/>
    <col min="6" max="6" width="18.28515625" style="349" customWidth="1"/>
    <col min="7" max="7" width="13.85546875" style="349" customWidth="1"/>
    <col min="8" max="8" width="18" style="349" bestFit="1" customWidth="1"/>
    <col min="9" max="9" width="15.42578125" style="349" customWidth="1"/>
    <col min="10" max="10" width="19.5703125" style="349" customWidth="1"/>
    <col min="11" max="11" width="19.28515625" style="349" customWidth="1"/>
    <col min="12" max="12" width="18.140625" style="349" customWidth="1"/>
    <col min="13" max="13" width="18.7109375" style="349" customWidth="1"/>
    <col min="14" max="16384" width="9.140625" style="349"/>
  </cols>
  <sheetData>
    <row r="2" spans="2:13" ht="13.5" thickBot="1"/>
    <row r="3" spans="2:13" s="354" customFormat="1" ht="41.25" customHeight="1">
      <c r="B3" s="350" t="s">
        <v>184</v>
      </c>
      <c r="C3" s="351" t="s">
        <v>185</v>
      </c>
      <c r="D3" s="351" t="s">
        <v>186</v>
      </c>
      <c r="E3" s="352" t="s">
        <v>187</v>
      </c>
      <c r="F3" s="352" t="s">
        <v>188</v>
      </c>
      <c r="G3" s="352" t="s">
        <v>189</v>
      </c>
      <c r="H3" s="352" t="s">
        <v>190</v>
      </c>
      <c r="I3" s="351" t="s">
        <v>191</v>
      </c>
      <c r="J3" s="351" t="s">
        <v>192</v>
      </c>
      <c r="K3" s="351" t="s">
        <v>193</v>
      </c>
      <c r="L3" s="351" t="s">
        <v>194</v>
      </c>
      <c r="M3" s="353" t="s">
        <v>195</v>
      </c>
    </row>
    <row r="4" spans="2:13" ht="43.5" customHeight="1" thickBot="1">
      <c r="B4" s="355">
        <f>Calculations!B23</f>
        <v>1080000</v>
      </c>
      <c r="C4" s="356">
        <f>SUM('Benefits Fin. and Econ Roads'!E90:Y90)</f>
        <v>123782633.74361214</v>
      </c>
      <c r="D4" s="356">
        <f>SUM('Benefits Fin. and Econ Roads'!E89:Y89)</f>
        <v>123406719.81977214</v>
      </c>
      <c r="E4" s="356">
        <f>'Benefits Fin. and Econ Roads'!D102</f>
        <v>63466962.612238564</v>
      </c>
      <c r="F4" s="356" t="s">
        <v>196</v>
      </c>
      <c r="G4" s="357" t="e">
        <f>'Benefits Fin. and Econ Roads'!D103</f>
        <v>#DIV/0!</v>
      </c>
      <c r="H4" s="356" t="s">
        <v>196</v>
      </c>
      <c r="I4" s="358">
        <f>'Benefits Fin. and Econ Roads'!D105</f>
        <v>50.234763955603889</v>
      </c>
      <c r="J4" s="356" t="s">
        <v>196</v>
      </c>
      <c r="K4" s="359">
        <f>'Benefits Fin. and Econ Roads'!C115</f>
        <v>2.1304139654092187</v>
      </c>
      <c r="L4" s="356" t="s">
        <v>196</v>
      </c>
      <c r="M4" s="356" t="s">
        <v>196</v>
      </c>
    </row>
  </sheetData>
  <pageMargins left="0.7" right="0.7" top="0.75" bottom="0.75" header="0.3" footer="0.3"/>
  <pageSetup orientation="portrait" horizontalDpi="4294967293" verticalDpi="4294967293" r:id="rId1"/>
</worksheet>
</file>

<file path=xl/worksheets/sheet6.xml><?xml version="1.0" encoding="utf-8"?>
<worksheet xmlns="http://schemas.openxmlformats.org/spreadsheetml/2006/main" xmlns:r="http://schemas.openxmlformats.org/officeDocument/2006/relationships">
  <sheetPr>
    <tabColor rgb="FFFF0000"/>
  </sheetPr>
  <dimension ref="A1:K186"/>
  <sheetViews>
    <sheetView showGridLines="0" view="pageBreakPreview" topLeftCell="A87" zoomScaleSheetLayoutView="100" workbookViewId="0">
      <selection activeCell="C101" sqref="A101:XFD101"/>
    </sheetView>
  </sheetViews>
  <sheetFormatPr defaultColWidth="8.85546875" defaultRowHeight="12"/>
  <cols>
    <col min="1" max="1" width="9.5703125" style="402" customWidth="1"/>
    <col min="2" max="2" width="23" style="401" hidden="1" customWidth="1"/>
    <col min="3" max="3" width="72.85546875" style="400" customWidth="1"/>
    <col min="4" max="4" width="18.85546875" style="399" customWidth="1"/>
    <col min="5" max="5" width="18.28515625" style="398" customWidth="1"/>
    <col min="6" max="6" width="18.140625" style="396" bestFit="1" customWidth="1"/>
    <col min="7" max="7" width="28.5703125" style="396" bestFit="1" customWidth="1"/>
    <col min="8" max="8" width="34.28515625" style="396" customWidth="1"/>
    <col min="9" max="9" width="31.140625" style="396" customWidth="1"/>
    <col min="10" max="10" width="13.28515625" style="396" bestFit="1" customWidth="1"/>
    <col min="11" max="16384" width="8.85546875" style="396"/>
  </cols>
  <sheetData>
    <row r="1" spans="2:9" s="396" customFormat="1" ht="9.75" customHeight="1">
      <c r="B1" s="401"/>
      <c r="C1" s="400"/>
      <c r="D1" s="399"/>
      <c r="E1" s="398"/>
    </row>
    <row r="2" spans="2:9" s="396" customFormat="1" ht="9.75" customHeight="1">
      <c r="B2" s="484" t="s">
        <v>348</v>
      </c>
      <c r="C2" s="400"/>
      <c r="D2" s="399"/>
      <c r="E2" s="398"/>
    </row>
    <row r="3" spans="2:9" s="396" customFormat="1" ht="9.75" customHeight="1">
      <c r="B3" s="401"/>
      <c r="C3" s="483" t="s">
        <v>7</v>
      </c>
      <c r="D3" s="399"/>
      <c r="E3" s="398"/>
    </row>
    <row r="4" spans="2:9" s="396" customFormat="1" ht="9.75" customHeight="1">
      <c r="B4" s="401" t="s">
        <v>347</v>
      </c>
      <c r="C4" s="400" t="s">
        <v>346</v>
      </c>
      <c r="D4" s="399"/>
      <c r="E4" s="398"/>
    </row>
    <row r="5" spans="2:9" s="396" customFormat="1" ht="9.75" customHeight="1">
      <c r="B5" s="401" t="s">
        <v>228</v>
      </c>
      <c r="C5" s="400" t="s">
        <v>345</v>
      </c>
      <c r="D5" s="399"/>
      <c r="E5" s="398"/>
    </row>
    <row r="6" spans="2:9" s="396" customFormat="1" ht="9.75" customHeight="1">
      <c r="B6" s="401" t="s">
        <v>344</v>
      </c>
      <c r="C6" s="400" t="s">
        <v>343</v>
      </c>
      <c r="D6" s="399"/>
      <c r="E6" s="398"/>
    </row>
    <row r="7" spans="2:9" s="396" customFormat="1" ht="9.75" customHeight="1">
      <c r="B7" s="401" t="s">
        <v>241</v>
      </c>
      <c r="C7" s="400" t="s">
        <v>342</v>
      </c>
      <c r="D7" s="399"/>
      <c r="E7" s="398"/>
    </row>
    <row r="8" spans="2:9" s="396" customFormat="1" ht="9.75" customHeight="1">
      <c r="B8" s="401" t="s">
        <v>341</v>
      </c>
      <c r="C8" s="400" t="s">
        <v>340</v>
      </c>
      <c r="D8" s="399"/>
      <c r="E8" s="398"/>
    </row>
    <row r="9" spans="2:9" s="396" customFormat="1" ht="9.75" customHeight="1">
      <c r="B9" s="401" t="s">
        <v>339</v>
      </c>
      <c r="C9" s="400" t="s">
        <v>338</v>
      </c>
      <c r="D9" s="399"/>
      <c r="E9" s="398"/>
    </row>
    <row r="10" spans="2:9" s="396" customFormat="1" ht="9.75" customHeight="1">
      <c r="B10" s="401" t="s">
        <v>337</v>
      </c>
      <c r="C10" s="400" t="s">
        <v>336</v>
      </c>
      <c r="D10" s="399"/>
      <c r="E10" s="398"/>
    </row>
    <row r="11" spans="2:9" s="396" customFormat="1" ht="9.75" customHeight="1">
      <c r="B11" s="401" t="s">
        <v>335</v>
      </c>
      <c r="C11" s="400" t="s">
        <v>334</v>
      </c>
      <c r="D11" s="399"/>
      <c r="E11" s="398"/>
    </row>
    <row r="12" spans="2:9" s="396" customFormat="1" ht="9.75" customHeight="1">
      <c r="B12" s="401"/>
      <c r="C12" s="400"/>
      <c r="D12" s="399"/>
      <c r="E12" s="398"/>
    </row>
    <row r="13" spans="2:9" s="396" customFormat="1" ht="9.75" customHeight="1">
      <c r="B13" s="401"/>
      <c r="C13" s="400"/>
      <c r="D13" s="399"/>
      <c r="E13" s="398"/>
      <c r="F13" s="438"/>
    </row>
    <row r="14" spans="2:9" s="396" customFormat="1">
      <c r="B14" s="430" t="s">
        <v>333</v>
      </c>
      <c r="C14" s="482" t="s">
        <v>332</v>
      </c>
      <c r="D14" s="399"/>
      <c r="E14" s="398"/>
      <c r="F14" s="438"/>
      <c r="I14" s="399"/>
    </row>
    <row r="15" spans="2:9" s="396" customFormat="1" ht="11.25" customHeight="1">
      <c r="B15" s="401"/>
      <c r="C15" s="400"/>
      <c r="D15" s="480"/>
      <c r="E15" s="479"/>
      <c r="F15" s="478"/>
    </row>
    <row r="16" spans="2:9" s="396" customFormat="1" ht="11.25" customHeight="1">
      <c r="B16" s="426"/>
      <c r="C16" s="423" t="s">
        <v>331</v>
      </c>
      <c r="D16" s="423"/>
      <c r="E16" s="423"/>
      <c r="F16" s="423"/>
      <c r="G16" s="423"/>
      <c r="H16" s="423"/>
      <c r="I16" s="423"/>
    </row>
    <row r="17" spans="1:9" ht="11.25" customHeight="1">
      <c r="B17" s="426"/>
      <c r="C17" s="423" t="s">
        <v>330</v>
      </c>
      <c r="D17" s="423"/>
      <c r="E17" s="423"/>
      <c r="F17" s="423"/>
      <c r="G17" s="423"/>
      <c r="H17" s="423"/>
      <c r="I17" s="423"/>
    </row>
    <row r="18" spans="1:9" ht="11.25" customHeight="1">
      <c r="B18" s="426"/>
      <c r="C18" s="424"/>
      <c r="D18" s="480"/>
      <c r="E18" s="479"/>
      <c r="F18" s="478"/>
    </row>
    <row r="19" spans="1:9" ht="11.25" customHeight="1">
      <c r="B19" s="426"/>
      <c r="C19" s="423" t="s">
        <v>329</v>
      </c>
      <c r="D19" s="423"/>
      <c r="E19" s="423"/>
      <c r="F19" s="423"/>
      <c r="G19" s="481"/>
      <c r="H19" s="423"/>
      <c r="I19" s="423"/>
    </row>
    <row r="20" spans="1:9" ht="11.25" customHeight="1">
      <c r="C20" s="479"/>
      <c r="D20" s="480"/>
      <c r="E20" s="479"/>
      <c r="F20" s="478"/>
    </row>
    <row r="21" spans="1:9" ht="24">
      <c r="A21" s="415" t="s">
        <v>7</v>
      </c>
      <c r="B21" s="411" t="s">
        <v>218</v>
      </c>
      <c r="C21" s="415" t="s">
        <v>217</v>
      </c>
      <c r="D21" s="435" t="s">
        <v>314</v>
      </c>
      <c r="E21" s="415" t="s">
        <v>214</v>
      </c>
      <c r="F21" s="434" t="s">
        <v>213</v>
      </c>
      <c r="G21" s="415" t="s">
        <v>212</v>
      </c>
      <c r="H21" s="414" t="s">
        <v>210</v>
      </c>
      <c r="I21" s="414" t="s">
        <v>211</v>
      </c>
    </row>
    <row r="22" spans="1:9" s="463" customFormat="1" ht="36">
      <c r="A22" s="638" t="s">
        <v>328</v>
      </c>
      <c r="B22" s="641" t="s">
        <v>327</v>
      </c>
      <c r="C22" s="467" t="s">
        <v>326</v>
      </c>
      <c r="D22" s="803">
        <v>6100</v>
      </c>
      <c r="E22" s="802">
        <v>800</v>
      </c>
      <c r="F22" s="818">
        <f>D22*E22</f>
        <v>4880000</v>
      </c>
      <c r="G22" s="623" t="s">
        <v>205</v>
      </c>
      <c r="H22" s="789" t="s">
        <v>325</v>
      </c>
      <c r="I22" s="622"/>
    </row>
    <row r="23" spans="1:9" s="463" customFormat="1" ht="25.5" customHeight="1">
      <c r="A23" s="639"/>
      <c r="B23" s="642"/>
      <c r="C23" s="467" t="s">
        <v>324</v>
      </c>
      <c r="D23" s="803">
        <v>9000</v>
      </c>
      <c r="E23" s="802">
        <v>687.74726414992165</v>
      </c>
      <c r="F23" s="818">
        <f>D23*E23</f>
        <v>6189725.3773492947</v>
      </c>
      <c r="G23" s="624"/>
      <c r="H23" s="817" t="s">
        <v>236</v>
      </c>
      <c r="I23" s="622"/>
    </row>
    <row r="24" spans="1:9" ht="13.5" customHeight="1">
      <c r="A24" s="639"/>
      <c r="B24" s="642"/>
      <c r="C24" s="410" t="s">
        <v>323</v>
      </c>
      <c r="D24" s="816">
        <v>1745</v>
      </c>
      <c r="E24" s="758">
        <v>500</v>
      </c>
      <c r="F24" s="765">
        <f>D24*E24+0.25</f>
        <v>872500.25</v>
      </c>
      <c r="G24" s="624"/>
      <c r="H24" s="739" t="s">
        <v>236</v>
      </c>
      <c r="I24" s="622"/>
    </row>
    <row r="25" spans="1:9" ht="24">
      <c r="A25" s="639"/>
      <c r="B25" s="642"/>
      <c r="C25" s="449" t="s">
        <v>479</v>
      </c>
      <c r="D25" s="815">
        <v>15000</v>
      </c>
      <c r="E25" s="814">
        <v>11.166650000000001</v>
      </c>
      <c r="F25" s="765">
        <f>D25*E25</f>
        <v>167499.75</v>
      </c>
      <c r="G25" s="624"/>
      <c r="H25" s="739" t="s">
        <v>236</v>
      </c>
      <c r="I25" s="622"/>
    </row>
    <row r="26" spans="1:9">
      <c r="A26" s="640"/>
      <c r="B26" s="643"/>
      <c r="C26" s="432" t="s">
        <v>222</v>
      </c>
      <c r="D26" s="813"/>
      <c r="E26" s="812"/>
      <c r="F26" s="811">
        <f>SUM(F22:F25)</f>
        <v>12109725.377349295</v>
      </c>
      <c r="G26" s="625"/>
      <c r="H26" s="739" t="s">
        <v>236</v>
      </c>
      <c r="I26" s="622"/>
    </row>
    <row r="27" spans="1:9" ht="13.5" customHeight="1">
      <c r="A27" s="552" t="s">
        <v>322</v>
      </c>
      <c r="B27" s="553" t="s">
        <v>228</v>
      </c>
      <c r="C27" s="449" t="s">
        <v>321</v>
      </c>
      <c r="D27" s="759">
        <v>60</v>
      </c>
      <c r="E27" s="771">
        <f>'Detailed Budget'!J3</f>
        <v>10633</v>
      </c>
      <c r="F27" s="810">
        <f>+E27*D27</f>
        <v>637980</v>
      </c>
      <c r="G27" s="550" t="s">
        <v>205</v>
      </c>
      <c r="H27" s="739" t="s">
        <v>236</v>
      </c>
      <c r="I27" s="551"/>
    </row>
    <row r="28" spans="1:9" ht="48">
      <c r="A28" s="809">
        <v>2</v>
      </c>
      <c r="B28" s="745" t="s">
        <v>320</v>
      </c>
      <c r="C28" s="413" t="s">
        <v>478</v>
      </c>
      <c r="D28" s="808">
        <v>15000</v>
      </c>
      <c r="E28" s="807">
        <f>'Detailed Budget'!J4</f>
        <v>162.11713605930873</v>
      </c>
      <c r="F28" s="757">
        <f>+E28*D28</f>
        <v>2431757.040889631</v>
      </c>
      <c r="G28" s="550" t="s">
        <v>205</v>
      </c>
      <c r="H28" s="739" t="s">
        <v>236</v>
      </c>
      <c r="I28" s="806"/>
    </row>
    <row r="29" spans="1:9" s="463" customFormat="1" ht="36">
      <c r="A29" s="805">
        <v>3</v>
      </c>
      <c r="B29" s="468" t="s">
        <v>264</v>
      </c>
      <c r="C29" s="804" t="s">
        <v>319</v>
      </c>
      <c r="D29" s="803">
        <v>16270</v>
      </c>
      <c r="E29" s="802">
        <f>'Detailed Budget'!J5</f>
        <v>357.81165548684896</v>
      </c>
      <c r="F29" s="801">
        <f>+E29*D29</f>
        <v>5821595.6347710323</v>
      </c>
      <c r="G29" s="800" t="s">
        <v>225</v>
      </c>
      <c r="H29" s="789" t="s">
        <v>454</v>
      </c>
      <c r="I29" s="799" t="s">
        <v>318</v>
      </c>
    </row>
    <row r="30" spans="1:9" ht="24">
      <c r="A30" s="450">
        <v>4</v>
      </c>
      <c r="B30" s="411" t="s">
        <v>245</v>
      </c>
      <c r="C30" s="449" t="s">
        <v>317</v>
      </c>
      <c r="D30" s="798">
        <v>16270</v>
      </c>
      <c r="E30" s="758">
        <f>'Detailed Budget'!J6</f>
        <v>27.718770650830095</v>
      </c>
      <c r="F30" s="757">
        <f>+E30*D30</f>
        <v>450984.39848900563</v>
      </c>
      <c r="G30" s="439" t="s">
        <v>225</v>
      </c>
      <c r="H30" s="774" t="s">
        <v>454</v>
      </c>
      <c r="I30" s="775" t="s">
        <v>316</v>
      </c>
    </row>
    <row r="31" spans="1:9">
      <c r="A31" s="797"/>
      <c r="B31" s="422"/>
      <c r="C31" s="796"/>
      <c r="D31" s="795"/>
      <c r="E31" s="794"/>
      <c r="F31" s="793"/>
      <c r="G31" s="788"/>
      <c r="H31" s="792"/>
      <c r="I31" s="400"/>
    </row>
    <row r="32" spans="1:9">
      <c r="C32" s="423" t="s">
        <v>315</v>
      </c>
      <c r="D32" s="423"/>
      <c r="E32" s="423"/>
      <c r="F32" s="423"/>
      <c r="G32" s="476"/>
      <c r="H32" s="423"/>
      <c r="I32" s="423"/>
    </row>
    <row r="33" spans="1:11">
      <c r="B33" s="430"/>
      <c r="C33" s="626"/>
      <c r="D33" s="626"/>
      <c r="E33" s="626"/>
      <c r="F33" s="626"/>
      <c r="G33" s="626"/>
    </row>
    <row r="34" spans="1:11" ht="24">
      <c r="A34" s="415" t="s">
        <v>7</v>
      </c>
      <c r="B34" s="411" t="s">
        <v>218</v>
      </c>
      <c r="C34" s="436" t="s">
        <v>217</v>
      </c>
      <c r="D34" s="435" t="s">
        <v>314</v>
      </c>
      <c r="E34" s="415" t="s">
        <v>214</v>
      </c>
      <c r="F34" s="434" t="s">
        <v>213</v>
      </c>
      <c r="G34" s="415" t="s">
        <v>212</v>
      </c>
      <c r="H34" s="415" t="s">
        <v>210</v>
      </c>
    </row>
    <row r="35" spans="1:11" ht="72">
      <c r="A35" s="412">
        <v>5</v>
      </c>
      <c r="B35" s="411" t="s">
        <v>245</v>
      </c>
      <c r="C35" s="410" t="s">
        <v>477</v>
      </c>
      <c r="D35" s="477">
        <v>8100</v>
      </c>
      <c r="E35" s="407">
        <f>'Detailed Budget'!J7</f>
        <v>528.84141719759089</v>
      </c>
      <c r="F35" s="406">
        <f>E35*D35</f>
        <v>4283615.4793004859</v>
      </c>
      <c r="G35" s="550" t="s">
        <v>205</v>
      </c>
      <c r="H35" s="774" t="s">
        <v>313</v>
      </c>
    </row>
    <row r="36" spans="1:11" ht="24">
      <c r="A36" s="412">
        <v>6</v>
      </c>
      <c r="B36" s="411" t="s">
        <v>245</v>
      </c>
      <c r="C36" s="410" t="s">
        <v>476</v>
      </c>
      <c r="D36" s="462">
        <v>8100</v>
      </c>
      <c r="E36" s="407">
        <f>'Detailed Budget'!J8</f>
        <v>93.064680013808726</v>
      </c>
      <c r="F36" s="406">
        <f>E36*D36</f>
        <v>753823.90811185073</v>
      </c>
      <c r="G36" s="550" t="s">
        <v>205</v>
      </c>
      <c r="H36" s="739" t="s">
        <v>236</v>
      </c>
    </row>
    <row r="37" spans="1:11" ht="11.45" customHeight="1">
      <c r="A37" s="619"/>
      <c r="B37" s="620"/>
      <c r="C37" s="621"/>
      <c r="D37" s="435" t="s">
        <v>312</v>
      </c>
      <c r="E37" s="754"/>
      <c r="F37" s="753"/>
      <c r="G37" s="753"/>
      <c r="H37" s="791"/>
    </row>
    <row r="38" spans="1:11" ht="60">
      <c r="A38" s="412">
        <v>7</v>
      </c>
      <c r="B38" s="411" t="s">
        <v>237</v>
      </c>
      <c r="C38" s="475" t="s">
        <v>311</v>
      </c>
      <c r="D38" s="462">
        <v>30</v>
      </c>
      <c r="E38" s="407">
        <f>'Detailed Budget'!J9</f>
        <v>3332.9989634928106</v>
      </c>
      <c r="F38" s="406">
        <f>E38*D38</f>
        <v>99989.968904784313</v>
      </c>
      <c r="G38" s="550" t="s">
        <v>205</v>
      </c>
      <c r="H38" s="739" t="s">
        <v>307</v>
      </c>
    </row>
    <row r="39" spans="1:11" ht="36">
      <c r="A39" s="412">
        <v>8</v>
      </c>
      <c r="B39" s="411" t="s">
        <v>237</v>
      </c>
      <c r="C39" s="410" t="s">
        <v>310</v>
      </c>
      <c r="D39" s="462">
        <v>30</v>
      </c>
      <c r="E39" s="407">
        <f>'Detailed Budget'!J10</f>
        <v>6685.5048879233809</v>
      </c>
      <c r="F39" s="406">
        <v>200565.14663770146</v>
      </c>
      <c r="G39" s="550" t="s">
        <v>205</v>
      </c>
      <c r="H39" s="739" t="s">
        <v>307</v>
      </c>
      <c r="I39" s="473"/>
    </row>
    <row r="40" spans="1:11">
      <c r="B40" s="430"/>
      <c r="C40" s="429"/>
      <c r="J40" s="790"/>
      <c r="K40" s="473"/>
    </row>
    <row r="41" spans="1:11">
      <c r="C41" s="423" t="s">
        <v>309</v>
      </c>
      <c r="D41" s="423"/>
      <c r="E41" s="423"/>
      <c r="F41" s="423"/>
      <c r="G41" s="423"/>
      <c r="H41" s="423"/>
      <c r="I41" s="423"/>
      <c r="J41" s="790"/>
      <c r="K41" s="473"/>
    </row>
    <row r="42" spans="1:11">
      <c r="B42" s="430"/>
      <c r="C42" s="474"/>
      <c r="D42" s="460"/>
      <c r="E42" s="459"/>
      <c r="F42" s="458"/>
      <c r="G42" s="457"/>
      <c r="J42" s="473"/>
      <c r="K42" s="473"/>
    </row>
    <row r="43" spans="1:11" ht="24">
      <c r="A43" s="415" t="s">
        <v>7</v>
      </c>
      <c r="B43" s="411" t="s">
        <v>218</v>
      </c>
      <c r="C43" s="436" t="s">
        <v>217</v>
      </c>
      <c r="D43" s="435" t="s">
        <v>233</v>
      </c>
      <c r="E43" s="415" t="s">
        <v>214</v>
      </c>
      <c r="F43" s="434" t="s">
        <v>213</v>
      </c>
      <c r="G43" s="415" t="s">
        <v>212</v>
      </c>
      <c r="H43" s="415" t="s">
        <v>210</v>
      </c>
      <c r="J43" s="473"/>
    </row>
    <row r="44" spans="1:11" s="472" customFormat="1" ht="36">
      <c r="A44" s="412">
        <v>9</v>
      </c>
      <c r="B44" s="411" t="s">
        <v>237</v>
      </c>
      <c r="C44" s="449" t="s">
        <v>308</v>
      </c>
      <c r="D44" s="462">
        <v>60</v>
      </c>
      <c r="E44" s="407">
        <f>'Detailed Budget'!J11</f>
        <v>2219.9811877454686</v>
      </c>
      <c r="F44" s="406">
        <f>E44*D44</f>
        <v>133198.87126472811</v>
      </c>
      <c r="G44" s="550" t="s">
        <v>205</v>
      </c>
      <c r="H44" s="739" t="s">
        <v>307</v>
      </c>
    </row>
    <row r="45" spans="1:11" s="472" customFormat="1">
      <c r="A45" s="412">
        <v>10</v>
      </c>
      <c r="B45" s="411" t="s">
        <v>241</v>
      </c>
      <c r="C45" s="449" t="s">
        <v>475</v>
      </c>
      <c r="D45" s="462">
        <v>60</v>
      </c>
      <c r="E45" s="407">
        <f>'Detailed Budget'!J12</f>
        <v>724.97096737357776</v>
      </c>
      <c r="F45" s="406">
        <f>E45*D45</f>
        <v>43498.258042414665</v>
      </c>
      <c r="G45" s="550" t="s">
        <v>205</v>
      </c>
      <c r="H45" s="739" t="s">
        <v>307</v>
      </c>
    </row>
    <row r="46" spans="1:11" s="472" customFormat="1" ht="24">
      <c r="A46" s="412">
        <v>11</v>
      </c>
      <c r="B46" s="411" t="s">
        <v>229</v>
      </c>
      <c r="C46" s="449" t="s">
        <v>474</v>
      </c>
      <c r="D46" s="462">
        <v>60</v>
      </c>
      <c r="E46" s="407">
        <f>'Detailed Budget'!J13</f>
        <v>543.72822553018318</v>
      </c>
      <c r="F46" s="406">
        <f>E46*D46</f>
        <v>32623.69353181099</v>
      </c>
      <c r="G46" s="550" t="s">
        <v>205</v>
      </c>
      <c r="H46" s="739" t="s">
        <v>307</v>
      </c>
    </row>
    <row r="47" spans="1:11">
      <c r="C47" s="396"/>
      <c r="D47" s="396"/>
      <c r="E47" s="396"/>
    </row>
    <row r="48" spans="1:11">
      <c r="C48" s="423" t="s">
        <v>306</v>
      </c>
      <c r="D48" s="423"/>
      <c r="E48" s="423"/>
      <c r="F48" s="423"/>
      <c r="G48" s="423"/>
      <c r="H48" s="423"/>
      <c r="I48" s="423"/>
    </row>
    <row r="49" spans="1:9">
      <c r="C49" s="471"/>
      <c r="F49" s="470"/>
      <c r="G49" s="469"/>
    </row>
    <row r="50" spans="1:9" ht="24">
      <c r="A50" s="415" t="s">
        <v>7</v>
      </c>
      <c r="B50" s="411" t="s">
        <v>218</v>
      </c>
      <c r="C50" s="436" t="s">
        <v>217</v>
      </c>
      <c r="D50" s="435" t="s">
        <v>233</v>
      </c>
      <c r="E50" s="415" t="s">
        <v>214</v>
      </c>
      <c r="F50" s="434" t="s">
        <v>213</v>
      </c>
      <c r="G50" s="415" t="s">
        <v>212</v>
      </c>
      <c r="H50" s="415" t="s">
        <v>210</v>
      </c>
    </row>
    <row r="51" spans="1:9" s="463" customFormat="1" ht="24">
      <c r="A51" s="468">
        <v>12</v>
      </c>
      <c r="B51" s="468" t="s">
        <v>264</v>
      </c>
      <c r="C51" s="467" t="s">
        <v>473</v>
      </c>
      <c r="D51" s="466">
        <v>150</v>
      </c>
      <c r="E51" s="465">
        <f>+'Detailed Budget'!J14</f>
        <v>23070.340196942107</v>
      </c>
      <c r="F51" s="447">
        <f>+E51*D51</f>
        <v>3460551.029541316</v>
      </c>
      <c r="G51" s="464" t="s">
        <v>205</v>
      </c>
      <c r="H51" s="789" t="s">
        <v>305</v>
      </c>
    </row>
    <row r="52" spans="1:9" ht="24">
      <c r="A52" s="412">
        <v>13</v>
      </c>
      <c r="B52" s="411" t="s">
        <v>229</v>
      </c>
      <c r="C52" s="449" t="s">
        <v>472</v>
      </c>
      <c r="D52" s="462">
        <v>150</v>
      </c>
      <c r="E52" s="407">
        <f>+'Detailed Budget'!J15</f>
        <v>4071.2365053427252</v>
      </c>
      <c r="F52" s="406">
        <f>+E52*D52</f>
        <v>610685.47580140876</v>
      </c>
      <c r="G52" s="550" t="s">
        <v>205</v>
      </c>
      <c r="H52" s="774" t="s">
        <v>305</v>
      </c>
    </row>
    <row r="53" spans="1:9">
      <c r="C53" s="461"/>
      <c r="D53" s="460"/>
      <c r="E53" s="459"/>
      <c r="F53" s="458"/>
      <c r="G53" s="457"/>
    </row>
    <row r="54" spans="1:9">
      <c r="C54" s="423" t="s">
        <v>304</v>
      </c>
      <c r="D54" s="423"/>
      <c r="E54" s="423"/>
      <c r="F54" s="423"/>
      <c r="G54" s="423"/>
      <c r="H54" s="423"/>
      <c r="I54" s="423"/>
    </row>
    <row r="55" spans="1:9">
      <c r="C55" s="423" t="s">
        <v>303</v>
      </c>
      <c r="D55" s="423"/>
      <c r="E55" s="423"/>
      <c r="F55" s="423"/>
      <c r="G55" s="423"/>
      <c r="H55" s="423"/>
      <c r="I55" s="423"/>
    </row>
    <row r="56" spans="1:9">
      <c r="A56" s="396"/>
      <c r="B56" s="437"/>
      <c r="C56" s="396"/>
      <c r="D56" s="396"/>
      <c r="E56" s="396"/>
    </row>
    <row r="57" spans="1:9" ht="24">
      <c r="A57" s="415" t="s">
        <v>7</v>
      </c>
      <c r="B57" s="411" t="s">
        <v>218</v>
      </c>
      <c r="C57" s="436" t="s">
        <v>217</v>
      </c>
      <c r="D57" s="435" t="s">
        <v>302</v>
      </c>
      <c r="E57" s="415" t="s">
        <v>214</v>
      </c>
      <c r="F57" s="434" t="s">
        <v>213</v>
      </c>
      <c r="G57" s="415" t="s">
        <v>212</v>
      </c>
      <c r="H57" s="415" t="s">
        <v>210</v>
      </c>
    </row>
    <row r="58" spans="1:9" ht="36">
      <c r="A58" s="412">
        <v>14</v>
      </c>
      <c r="B58" s="411" t="s">
        <v>228</v>
      </c>
      <c r="C58" s="410" t="s">
        <v>471</v>
      </c>
      <c r="D58" s="409">
        <v>6</v>
      </c>
      <c r="E58" s="407">
        <f>'Detailed Budget'!J17</f>
        <v>30000</v>
      </c>
      <c r="F58" s="406">
        <f>D58*E58</f>
        <v>180000</v>
      </c>
      <c r="G58" s="550" t="s">
        <v>205</v>
      </c>
      <c r="H58" s="739" t="s">
        <v>236</v>
      </c>
    </row>
    <row r="59" spans="1:9">
      <c r="A59" s="396"/>
      <c r="B59" s="437"/>
      <c r="C59" s="396"/>
      <c r="D59" s="396"/>
      <c r="E59" s="396"/>
    </row>
    <row r="60" spans="1:9">
      <c r="A60" s="396"/>
      <c r="C60" s="423" t="s">
        <v>301</v>
      </c>
      <c r="D60" s="423"/>
      <c r="E60" s="423"/>
      <c r="F60" s="423"/>
      <c r="G60" s="423"/>
      <c r="H60" s="423"/>
      <c r="I60" s="423"/>
    </row>
    <row r="61" spans="1:9">
      <c r="B61" s="430"/>
      <c r="C61" s="429"/>
      <c r="D61" s="456"/>
      <c r="E61" s="455"/>
      <c r="F61" s="404"/>
      <c r="G61" s="404"/>
    </row>
    <row r="62" spans="1:9" ht="24">
      <c r="A62" s="415" t="s">
        <v>7</v>
      </c>
      <c r="B62" s="411" t="s">
        <v>218</v>
      </c>
      <c r="C62" s="436" t="s">
        <v>217</v>
      </c>
      <c r="D62" s="435" t="s">
        <v>289</v>
      </c>
      <c r="E62" s="415" t="s">
        <v>214</v>
      </c>
      <c r="F62" s="434" t="s">
        <v>213</v>
      </c>
      <c r="G62" s="415" t="s">
        <v>212</v>
      </c>
      <c r="H62" s="414" t="s">
        <v>210</v>
      </c>
    </row>
    <row r="63" spans="1:9" ht="72">
      <c r="A63" s="412">
        <v>15</v>
      </c>
      <c r="B63" s="411" t="s">
        <v>237</v>
      </c>
      <c r="C63" s="454" t="s">
        <v>300</v>
      </c>
      <c r="D63" s="409">
        <v>5</v>
      </c>
      <c r="E63" s="407">
        <f>'Detailed Budget'!J18</f>
        <v>88000</v>
      </c>
      <c r="F63" s="406">
        <f>D63*E63</f>
        <v>440000</v>
      </c>
      <c r="G63" s="550" t="s">
        <v>205</v>
      </c>
      <c r="H63" s="739" t="s">
        <v>236</v>
      </c>
    </row>
    <row r="65" spans="1:9">
      <c r="A65" s="422"/>
      <c r="B65" s="421"/>
      <c r="C65" s="423" t="s">
        <v>299</v>
      </c>
      <c r="D65" s="419"/>
      <c r="E65" s="418"/>
      <c r="F65" s="417"/>
      <c r="G65" s="416"/>
    </row>
    <row r="66" spans="1:9">
      <c r="A66" s="422"/>
      <c r="B66" s="422"/>
      <c r="C66" s="424"/>
      <c r="D66" s="419"/>
      <c r="E66" s="418"/>
      <c r="F66" s="417"/>
      <c r="G66" s="416"/>
      <c r="I66" s="788"/>
    </row>
    <row r="67" spans="1:9" ht="24">
      <c r="A67" s="415" t="s">
        <v>7</v>
      </c>
      <c r="B67" s="411" t="s">
        <v>218</v>
      </c>
      <c r="C67" s="436" t="s">
        <v>217</v>
      </c>
      <c r="D67" s="435" t="s">
        <v>289</v>
      </c>
      <c r="E67" s="415" t="s">
        <v>214</v>
      </c>
      <c r="F67" s="434" t="s">
        <v>213</v>
      </c>
      <c r="G67" s="415" t="s">
        <v>212</v>
      </c>
      <c r="H67" s="414" t="s">
        <v>210</v>
      </c>
      <c r="I67" s="414" t="s">
        <v>211</v>
      </c>
    </row>
    <row r="68" spans="1:9" ht="48">
      <c r="A68" s="412">
        <v>16</v>
      </c>
      <c r="B68" s="411" t="s">
        <v>229</v>
      </c>
      <c r="C68" s="454" t="s">
        <v>470</v>
      </c>
      <c r="D68" s="409">
        <v>5</v>
      </c>
      <c r="E68" s="407">
        <f>'Detailed Budget'!J19</f>
        <v>132115</v>
      </c>
      <c r="F68" s="453">
        <f>+E68*D68</f>
        <v>660575</v>
      </c>
      <c r="G68" s="550" t="s">
        <v>205</v>
      </c>
      <c r="H68" s="739" t="s">
        <v>236</v>
      </c>
      <c r="I68" s="397"/>
    </row>
    <row r="69" spans="1:9" ht="24">
      <c r="A69" s="415"/>
      <c r="B69" s="411" t="s">
        <v>218</v>
      </c>
      <c r="C69" s="436"/>
      <c r="D69" s="435" t="s">
        <v>291</v>
      </c>
      <c r="E69" s="784"/>
      <c r="F69" s="784"/>
      <c r="G69" s="784"/>
      <c r="H69" s="784"/>
      <c r="I69" s="784"/>
    </row>
    <row r="70" spans="1:9" ht="48">
      <c r="A70" s="412">
        <v>17</v>
      </c>
      <c r="B70" s="411" t="s">
        <v>290</v>
      </c>
      <c r="C70" s="413" t="s">
        <v>469</v>
      </c>
      <c r="D70" s="409">
        <v>11</v>
      </c>
      <c r="E70" s="451">
        <f>'Detailed Budget'!J20</f>
        <v>20018.18181818182</v>
      </c>
      <c r="F70" s="787">
        <f>+E70*D70</f>
        <v>220200.00000000003</v>
      </c>
      <c r="G70" s="550" t="s">
        <v>205</v>
      </c>
      <c r="H70" s="774" t="s">
        <v>286</v>
      </c>
      <c r="I70" s="397"/>
    </row>
    <row r="71" spans="1:9">
      <c r="A71" s="619"/>
      <c r="B71" s="620"/>
      <c r="C71" s="621"/>
      <c r="D71" s="435" t="s">
        <v>289</v>
      </c>
      <c r="E71" s="784"/>
      <c r="F71" s="784"/>
      <c r="G71" s="784"/>
      <c r="H71" s="784"/>
      <c r="I71" s="784"/>
    </row>
    <row r="72" spans="1:9" ht="60">
      <c r="A72" s="412">
        <v>18</v>
      </c>
      <c r="B72" s="411" t="s">
        <v>288</v>
      </c>
      <c r="C72" s="413" t="s">
        <v>468</v>
      </c>
      <c r="D72" s="409">
        <v>1</v>
      </c>
      <c r="E72" s="451">
        <f>'Detailed Budget'!J21</f>
        <v>68000</v>
      </c>
      <c r="F72" s="787">
        <f>D72*E72</f>
        <v>68000</v>
      </c>
      <c r="G72" s="550" t="s">
        <v>205</v>
      </c>
      <c r="H72" s="774" t="s">
        <v>286</v>
      </c>
      <c r="I72" s="397"/>
    </row>
    <row r="73" spans="1:9" ht="36">
      <c r="A73" s="412">
        <v>19</v>
      </c>
      <c r="B73" s="411" t="s">
        <v>287</v>
      </c>
      <c r="C73" s="413" t="s">
        <v>467</v>
      </c>
      <c r="D73" s="409">
        <v>1</v>
      </c>
      <c r="E73" s="451">
        <f>'Detailed Budget'!J22</f>
        <v>12000</v>
      </c>
      <c r="F73" s="787">
        <f>D73*E73</f>
        <v>12000</v>
      </c>
      <c r="G73" s="550" t="s">
        <v>205</v>
      </c>
      <c r="H73" s="774" t="s">
        <v>286</v>
      </c>
      <c r="I73" s="397"/>
    </row>
    <row r="74" spans="1:9" ht="60">
      <c r="A74" s="761">
        <v>20</v>
      </c>
      <c r="B74" s="761" t="s">
        <v>285</v>
      </c>
      <c r="C74" s="410" t="s">
        <v>284</v>
      </c>
      <c r="D74" s="759">
        <v>1</v>
      </c>
      <c r="E74" s="758">
        <f>36000+18000+128380</f>
        <v>182380</v>
      </c>
      <c r="F74" s="757">
        <f>D74*E74</f>
        <v>182380</v>
      </c>
      <c r="G74" s="772" t="s">
        <v>205</v>
      </c>
      <c r="H74" s="785" t="s">
        <v>236</v>
      </c>
      <c r="I74" s="397"/>
    </row>
    <row r="75" spans="1:9" ht="24">
      <c r="A75" s="412">
        <v>21</v>
      </c>
      <c r="B75" s="411" t="s">
        <v>298</v>
      </c>
      <c r="C75" s="413" t="s">
        <v>297</v>
      </c>
      <c r="D75" s="409">
        <v>45000</v>
      </c>
      <c r="E75" s="451">
        <f>'Detailed Budget'!J24</f>
        <v>25.850192463080017</v>
      </c>
      <c r="F75" s="787">
        <v>1163258.6608386007</v>
      </c>
      <c r="G75" s="550" t="s">
        <v>205</v>
      </c>
      <c r="H75" s="774" t="s">
        <v>296</v>
      </c>
      <c r="I75" s="397"/>
    </row>
    <row r="76" spans="1:9" ht="60">
      <c r="A76" s="412">
        <v>22</v>
      </c>
      <c r="B76" s="411" t="s">
        <v>295</v>
      </c>
      <c r="C76" s="413" t="s">
        <v>294</v>
      </c>
      <c r="D76" s="409">
        <v>45000</v>
      </c>
      <c r="E76" s="451">
        <f>'Detailed Budget'!J25</f>
        <v>120.36120154715894</v>
      </c>
      <c r="F76" s="787">
        <f>E76*D76</f>
        <v>5416254.0696221525</v>
      </c>
      <c r="G76" s="550" t="s">
        <v>205</v>
      </c>
      <c r="H76" s="774" t="s">
        <v>236</v>
      </c>
      <c r="I76" s="397"/>
    </row>
    <row r="77" spans="1:9" ht="36">
      <c r="A77" s="761">
        <v>23</v>
      </c>
      <c r="B77" s="786" t="s">
        <v>293</v>
      </c>
      <c r="C77" s="413" t="s">
        <v>466</v>
      </c>
      <c r="D77" s="759">
        <v>45000</v>
      </c>
      <c r="E77" s="742">
        <f>F77/D77</f>
        <v>214.55642222222221</v>
      </c>
      <c r="F77" s="741">
        <v>9655039</v>
      </c>
      <c r="G77" s="550" t="s">
        <v>205</v>
      </c>
      <c r="H77" s="785" t="s">
        <v>236</v>
      </c>
      <c r="I77" s="397"/>
    </row>
    <row r="78" spans="1:9" ht="24">
      <c r="A78" s="619"/>
      <c r="B78" s="620"/>
      <c r="C78" s="621"/>
      <c r="D78" s="435" t="s">
        <v>249</v>
      </c>
      <c r="E78" s="784"/>
      <c r="F78" s="784"/>
      <c r="G78" s="784"/>
      <c r="H78" s="784"/>
      <c r="I78" s="784"/>
    </row>
    <row r="79" spans="1:9" ht="36">
      <c r="A79" s="412">
        <v>24</v>
      </c>
      <c r="B79" s="411" t="s">
        <v>283</v>
      </c>
      <c r="C79" s="413" t="s">
        <v>282</v>
      </c>
      <c r="D79" s="448">
        <v>260000</v>
      </c>
      <c r="E79" s="407">
        <f>'Detailed Budget'!J27</f>
        <v>168.76121611230241</v>
      </c>
      <c r="F79" s="406">
        <f>D79*E79</f>
        <v>43877916.189198628</v>
      </c>
      <c r="G79" s="439" t="s">
        <v>225</v>
      </c>
      <c r="H79" s="774" t="s">
        <v>454</v>
      </c>
      <c r="I79" s="773" t="s">
        <v>281</v>
      </c>
    </row>
    <row r="80" spans="1:9" ht="36">
      <c r="A80" s="412">
        <v>25</v>
      </c>
      <c r="B80" s="411" t="s">
        <v>280</v>
      </c>
      <c r="C80" s="413" t="s">
        <v>279</v>
      </c>
      <c r="D80" s="409">
        <v>260000</v>
      </c>
      <c r="E80" s="407">
        <f>'Detailed Budget'!J28</f>
        <v>47.077495068793667</v>
      </c>
      <c r="F80" s="406">
        <f>D80*E80</f>
        <v>12240148.717886353</v>
      </c>
      <c r="G80" s="439" t="s">
        <v>225</v>
      </c>
      <c r="H80" s="774" t="s">
        <v>454</v>
      </c>
      <c r="I80" s="773" t="s">
        <v>278</v>
      </c>
    </row>
    <row r="81" spans="1:9">
      <c r="A81" s="422"/>
      <c r="B81" s="421"/>
      <c r="C81" s="783"/>
      <c r="D81" s="419"/>
      <c r="E81" s="418"/>
      <c r="F81" s="417"/>
      <c r="G81" s="416"/>
    </row>
    <row r="82" spans="1:9">
      <c r="C82" s="423" t="s">
        <v>292</v>
      </c>
    </row>
    <row r="83" spans="1:9">
      <c r="A83" s="396"/>
      <c r="B83" s="402"/>
      <c r="C83" s="424"/>
      <c r="D83" s="424"/>
      <c r="E83" s="424"/>
      <c r="F83" s="424"/>
      <c r="G83" s="424"/>
      <c r="H83" s="424"/>
      <c r="I83" s="424"/>
    </row>
    <row r="84" spans="1:9" ht="24">
      <c r="A84" s="415" t="s">
        <v>7</v>
      </c>
      <c r="B84" s="411" t="s">
        <v>218</v>
      </c>
      <c r="C84" s="436" t="s">
        <v>217</v>
      </c>
      <c r="D84" s="435" t="s">
        <v>249</v>
      </c>
      <c r="E84" s="415" t="s">
        <v>214</v>
      </c>
      <c r="F84" s="434" t="s">
        <v>213</v>
      </c>
      <c r="G84" s="415" t="s">
        <v>212</v>
      </c>
      <c r="H84" s="415" t="s">
        <v>210</v>
      </c>
    </row>
    <row r="85" spans="1:9" ht="36">
      <c r="A85" s="412">
        <v>26</v>
      </c>
      <c r="B85" s="411" t="s">
        <v>228</v>
      </c>
      <c r="C85" s="452" t="s">
        <v>465</v>
      </c>
      <c r="D85" s="409">
        <v>2500</v>
      </c>
      <c r="E85" s="407">
        <f>'Detailed Budget'!J29</f>
        <v>348.39342285858777</v>
      </c>
      <c r="F85" s="406">
        <f>+E85*D85</f>
        <v>870983.55714646948</v>
      </c>
      <c r="G85" s="550" t="s">
        <v>205</v>
      </c>
      <c r="H85" s="739" t="s">
        <v>236</v>
      </c>
    </row>
    <row r="86" spans="1:9" ht="34.5" customHeight="1">
      <c r="A86" s="412">
        <v>27</v>
      </c>
      <c r="B86" s="411" t="s">
        <v>245</v>
      </c>
      <c r="C86" s="452" t="s">
        <v>464</v>
      </c>
      <c r="D86" s="409">
        <v>2500</v>
      </c>
      <c r="E86" s="407">
        <f>'Detailed Budget'!J30</f>
        <v>233.60761523905853</v>
      </c>
      <c r="F86" s="406">
        <f>+E86*D86</f>
        <v>584019.03809764632</v>
      </c>
      <c r="G86" s="550" t="s">
        <v>205</v>
      </c>
      <c r="H86" s="739" t="s">
        <v>236</v>
      </c>
      <c r="I86" s="438"/>
    </row>
    <row r="87" spans="1:9">
      <c r="A87" s="396"/>
      <c r="B87" s="437"/>
      <c r="C87" s="396"/>
      <c r="D87" s="396"/>
      <c r="E87" s="396"/>
    </row>
    <row r="88" spans="1:9">
      <c r="A88" s="396"/>
      <c r="B88" s="437"/>
      <c r="C88" s="445" t="s">
        <v>443</v>
      </c>
      <c r="D88" s="406">
        <f>F38+(F39/3)*2+F44+F63/4+F76+F77/2+F86</f>
        <v>11304691.545647778</v>
      </c>
      <c r="E88" s="737">
        <f>D88/'Detailed Budget'!W32</f>
        <v>0.25546907784382517</v>
      </c>
    </row>
    <row r="89" spans="1:9">
      <c r="A89" s="396"/>
      <c r="B89" s="437"/>
      <c r="C89" s="396"/>
      <c r="D89" s="396"/>
      <c r="E89" s="396"/>
    </row>
    <row r="90" spans="1:9">
      <c r="A90" s="396"/>
      <c r="C90" s="423" t="s">
        <v>277</v>
      </c>
      <c r="D90" s="423"/>
      <c r="E90" s="423"/>
      <c r="F90" s="423"/>
      <c r="G90" s="423"/>
      <c r="H90" s="423"/>
      <c r="I90" s="423"/>
    </row>
    <row r="91" spans="1:9">
      <c r="A91" s="396"/>
      <c r="C91" s="423" t="s">
        <v>276</v>
      </c>
      <c r="D91" s="423"/>
      <c r="E91" s="423"/>
      <c r="F91" s="423"/>
      <c r="G91" s="423"/>
      <c r="H91" s="423"/>
      <c r="I91" s="423"/>
    </row>
    <row r="92" spans="1:9">
      <c r="A92" s="396"/>
      <c r="C92" s="423" t="s">
        <v>275</v>
      </c>
      <c r="D92" s="423"/>
      <c r="E92" s="423"/>
      <c r="F92" s="423"/>
      <c r="G92" s="423"/>
      <c r="H92" s="423"/>
      <c r="I92" s="423"/>
    </row>
    <row r="93" spans="1:9">
      <c r="A93" s="396"/>
      <c r="B93" s="437"/>
      <c r="C93" s="396"/>
      <c r="D93" s="396"/>
      <c r="E93" s="396"/>
    </row>
    <row r="94" spans="1:9" ht="24">
      <c r="A94" s="415" t="s">
        <v>7</v>
      </c>
      <c r="B94" s="411" t="s">
        <v>218</v>
      </c>
      <c r="C94" s="436" t="s">
        <v>217</v>
      </c>
      <c r="D94" s="435" t="s">
        <v>274</v>
      </c>
      <c r="E94" s="415" t="s">
        <v>214</v>
      </c>
      <c r="F94" s="434" t="s">
        <v>213</v>
      </c>
      <c r="G94" s="415" t="s">
        <v>212</v>
      </c>
      <c r="H94" s="414" t="s">
        <v>210</v>
      </c>
      <c r="I94" s="414" t="s">
        <v>211</v>
      </c>
    </row>
    <row r="95" spans="1:9" s="463" customFormat="1" ht="15" customHeight="1">
      <c r="A95" s="633">
        <v>28</v>
      </c>
      <c r="B95" s="630" t="s">
        <v>273</v>
      </c>
      <c r="C95" s="467" t="s">
        <v>272</v>
      </c>
      <c r="D95" s="781">
        <v>540</v>
      </c>
      <c r="E95" s="465">
        <v>3000</v>
      </c>
      <c r="F95" s="780">
        <f>1620000-F96-F97-F98-F99--0.153238518629223</f>
        <v>1377500.1532385186</v>
      </c>
      <c r="G95" s="623" t="s">
        <v>205</v>
      </c>
      <c r="H95" s="782" t="s">
        <v>236</v>
      </c>
    </row>
    <row r="96" spans="1:9" ht="15" customHeight="1">
      <c r="A96" s="634"/>
      <c r="B96" s="631"/>
      <c r="C96" s="413" t="s">
        <v>271</v>
      </c>
      <c r="D96" s="409">
        <v>50</v>
      </c>
      <c r="E96" s="407">
        <v>250</v>
      </c>
      <c r="F96" s="779">
        <f>D96*E96</f>
        <v>12500</v>
      </c>
      <c r="G96" s="624"/>
      <c r="H96" s="778"/>
    </row>
    <row r="97" spans="1:9" ht="15" customHeight="1">
      <c r="A97" s="634"/>
      <c r="B97" s="631"/>
      <c r="C97" s="413" t="s">
        <v>270</v>
      </c>
      <c r="D97" s="409">
        <v>50</v>
      </c>
      <c r="E97" s="407">
        <v>2500</v>
      </c>
      <c r="F97" s="779">
        <f>D97*E97</f>
        <v>125000</v>
      </c>
      <c r="G97" s="624"/>
      <c r="H97" s="778"/>
    </row>
    <row r="98" spans="1:9" ht="15" customHeight="1">
      <c r="A98" s="634"/>
      <c r="B98" s="631"/>
      <c r="C98" s="413" t="s">
        <v>269</v>
      </c>
      <c r="D98" s="409">
        <v>100</v>
      </c>
      <c r="E98" s="407">
        <v>1000</v>
      </c>
      <c r="F98" s="779">
        <f>D98*E98</f>
        <v>100000</v>
      </c>
      <c r="G98" s="624"/>
      <c r="H98" s="778"/>
    </row>
    <row r="99" spans="1:9" ht="15" customHeight="1">
      <c r="A99" s="634"/>
      <c r="B99" s="631"/>
      <c r="C99" s="413" t="s">
        <v>268</v>
      </c>
      <c r="D99" s="409">
        <v>10</v>
      </c>
      <c r="E99" s="407">
        <v>500</v>
      </c>
      <c r="F99" s="779">
        <f>D99*E99</f>
        <v>5000</v>
      </c>
      <c r="G99" s="624"/>
      <c r="H99" s="778"/>
    </row>
    <row r="100" spans="1:9" s="463" customFormat="1" ht="15" customHeight="1">
      <c r="A100" s="634"/>
      <c r="B100" s="631"/>
      <c r="C100" s="467" t="s">
        <v>267</v>
      </c>
      <c r="D100" s="781">
        <v>40</v>
      </c>
      <c r="E100" s="465">
        <v>2000</v>
      </c>
      <c r="F100" s="780">
        <v>80000</v>
      </c>
      <c r="G100" s="624"/>
      <c r="H100" s="778"/>
    </row>
    <row r="101" spans="1:9" s="463" customFormat="1">
      <c r="A101" s="634"/>
      <c r="B101" s="631"/>
      <c r="C101" s="467" t="s">
        <v>80</v>
      </c>
      <c r="D101" s="781">
        <v>540</v>
      </c>
      <c r="E101" s="465">
        <v>2000</v>
      </c>
      <c r="F101" s="780">
        <v>1080000</v>
      </c>
      <c r="G101" s="624"/>
      <c r="H101" s="778"/>
    </row>
    <row r="102" spans="1:9" ht="15" customHeight="1">
      <c r="A102" s="634"/>
      <c r="B102" s="631"/>
      <c r="C102" s="413" t="s">
        <v>266</v>
      </c>
      <c r="D102" s="409">
        <v>540</v>
      </c>
      <c r="E102" s="407">
        <v>194</v>
      </c>
      <c r="F102" s="779">
        <v>104671</v>
      </c>
      <c r="G102" s="624"/>
      <c r="H102" s="778"/>
    </row>
    <row r="103" spans="1:9" ht="15" customHeight="1">
      <c r="A103" s="635"/>
      <c r="B103" s="632"/>
      <c r="C103" s="446" t="s">
        <v>222</v>
      </c>
      <c r="D103" s="445"/>
      <c r="E103" s="444"/>
      <c r="F103" s="453">
        <f>SUM(F95:F102)</f>
        <v>2884671.1532385186</v>
      </c>
      <c r="G103" s="624"/>
      <c r="H103" s="777"/>
    </row>
    <row r="104" spans="1:9" s="442" customFormat="1">
      <c r="A104" s="636"/>
      <c r="B104" s="636"/>
      <c r="C104" s="637"/>
      <c r="D104" s="443" t="s">
        <v>233</v>
      </c>
      <c r="E104" s="754"/>
      <c r="F104" s="753"/>
      <c r="G104" s="753"/>
      <c r="H104" s="753"/>
      <c r="I104" s="753"/>
    </row>
    <row r="105" spans="1:9" ht="36">
      <c r="A105" s="412">
        <v>29</v>
      </c>
      <c r="B105" s="411" t="s">
        <v>229</v>
      </c>
      <c r="C105" s="410" t="s">
        <v>265</v>
      </c>
      <c r="D105" s="409">
        <v>540</v>
      </c>
      <c r="E105" s="407">
        <f>'Detailed Budget'!J34</f>
        <v>942.46769713677099</v>
      </c>
      <c r="F105" s="406">
        <f>D105*E105</f>
        <v>508932.55645385635</v>
      </c>
      <c r="G105" s="550" t="s">
        <v>205</v>
      </c>
      <c r="H105" s="739" t="s">
        <v>236</v>
      </c>
      <c r="I105" s="776"/>
    </row>
    <row r="106" spans="1:9" ht="36">
      <c r="A106" s="412">
        <v>30</v>
      </c>
      <c r="B106" s="411" t="s">
        <v>264</v>
      </c>
      <c r="C106" s="413" t="s">
        <v>263</v>
      </c>
      <c r="D106" s="409">
        <v>550</v>
      </c>
      <c r="E106" s="407">
        <f>'Detailed Budget'!J35</f>
        <v>12480.919185453437</v>
      </c>
      <c r="F106" s="406">
        <f>E106*D106</f>
        <v>6864505.5519993901</v>
      </c>
      <c r="G106" s="439" t="s">
        <v>225</v>
      </c>
      <c r="H106" s="774" t="s">
        <v>454</v>
      </c>
      <c r="I106" s="775" t="s">
        <v>262</v>
      </c>
    </row>
    <row r="107" spans="1:9" ht="24">
      <c r="A107" s="412">
        <v>31</v>
      </c>
      <c r="B107" s="411" t="s">
        <v>245</v>
      </c>
      <c r="C107" s="413" t="s">
        <v>463</v>
      </c>
      <c r="D107" s="409">
        <v>550</v>
      </c>
      <c r="E107" s="407">
        <f>'Detailed Budget'!J36</f>
        <v>1924.678247876624</v>
      </c>
      <c r="F107" s="406">
        <f>E107*D107</f>
        <v>1058573.0363321432</v>
      </c>
      <c r="G107" s="439" t="s">
        <v>225</v>
      </c>
      <c r="H107" s="774" t="s">
        <v>454</v>
      </c>
      <c r="I107" s="775" t="s">
        <v>261</v>
      </c>
    </row>
    <row r="108" spans="1:9">
      <c r="A108" s="396"/>
      <c r="B108" s="437"/>
      <c r="C108" s="396"/>
      <c r="D108" s="396"/>
      <c r="E108" s="396"/>
    </row>
    <row r="109" spans="1:9">
      <c r="A109" s="396"/>
      <c r="B109" s="437"/>
      <c r="C109" s="423" t="s">
        <v>260</v>
      </c>
      <c r="D109" s="423"/>
      <c r="E109" s="423"/>
      <c r="F109" s="423"/>
      <c r="G109" s="423"/>
      <c r="H109" s="423"/>
      <c r="I109" s="423"/>
    </row>
    <row r="110" spans="1:9">
      <c r="A110" s="396"/>
      <c r="C110" s="423" t="s">
        <v>259</v>
      </c>
      <c r="D110" s="423"/>
      <c r="E110" s="423"/>
      <c r="F110" s="423"/>
      <c r="G110" s="423"/>
      <c r="H110" s="423"/>
      <c r="I110" s="423"/>
    </row>
    <row r="111" spans="1:9">
      <c r="A111" s="396"/>
      <c r="B111" s="437"/>
      <c r="C111" s="396"/>
      <c r="D111" s="396"/>
      <c r="E111" s="396"/>
    </row>
    <row r="112" spans="1:9" ht="24">
      <c r="A112" s="415" t="s">
        <v>7</v>
      </c>
      <c r="B112" s="411" t="s">
        <v>218</v>
      </c>
      <c r="C112" s="436" t="s">
        <v>217</v>
      </c>
      <c r="D112" s="435" t="s">
        <v>254</v>
      </c>
      <c r="E112" s="415" t="s">
        <v>214</v>
      </c>
      <c r="F112" s="434" t="s">
        <v>213</v>
      </c>
      <c r="G112" s="415" t="s">
        <v>212</v>
      </c>
      <c r="H112" s="414" t="s">
        <v>210</v>
      </c>
    </row>
    <row r="113" spans="1:9" ht="48">
      <c r="A113" s="412">
        <v>32</v>
      </c>
      <c r="B113" s="411" t="s">
        <v>237</v>
      </c>
      <c r="C113" s="413" t="s">
        <v>258</v>
      </c>
      <c r="D113" s="409">
        <v>2000</v>
      </c>
      <c r="E113" s="407">
        <f>'Detailed Budget'!J38</f>
        <v>474.48805257800547</v>
      </c>
      <c r="F113" s="406">
        <f>+E113*D113</f>
        <v>948976.10515601095</v>
      </c>
      <c r="G113" s="550" t="s">
        <v>205</v>
      </c>
      <c r="H113" s="739" t="s">
        <v>236</v>
      </c>
    </row>
    <row r="114" spans="1:9">
      <c r="A114" s="396"/>
      <c r="B114" s="437"/>
      <c r="C114" s="396"/>
      <c r="D114" s="396"/>
      <c r="E114" s="396"/>
    </row>
    <row r="115" spans="1:9">
      <c r="A115" s="396"/>
      <c r="B115" s="437"/>
      <c r="C115" s="445" t="s">
        <v>443</v>
      </c>
      <c r="D115" s="406">
        <f>F113</f>
        <v>948976.10515601095</v>
      </c>
      <c r="E115" s="737">
        <f>D115/'Detailed Budget'!W40</f>
        <v>0.21852818960545523</v>
      </c>
    </row>
    <row r="116" spans="1:9">
      <c r="A116" s="396"/>
      <c r="B116" s="437"/>
      <c r="C116" s="396"/>
      <c r="D116" s="396"/>
      <c r="E116" s="396"/>
    </row>
    <row r="117" spans="1:9">
      <c r="A117" s="396"/>
      <c r="C117" s="423" t="s">
        <v>257</v>
      </c>
      <c r="D117" s="423"/>
      <c r="E117" s="423"/>
      <c r="F117" s="423"/>
      <c r="G117" s="423"/>
      <c r="H117" s="423"/>
      <c r="I117" s="423"/>
    </row>
    <row r="118" spans="1:9">
      <c r="A118" s="396"/>
      <c r="C118" s="423" t="s">
        <v>256</v>
      </c>
      <c r="D118" s="423"/>
      <c r="E118" s="423"/>
      <c r="F118" s="423"/>
      <c r="G118" s="423"/>
      <c r="H118" s="423"/>
      <c r="I118" s="423"/>
    </row>
    <row r="119" spans="1:9">
      <c r="A119" s="396"/>
      <c r="C119" s="423" t="s">
        <v>255</v>
      </c>
      <c r="D119" s="423"/>
      <c r="E119" s="423"/>
      <c r="F119" s="423"/>
      <c r="G119" s="423"/>
      <c r="H119" s="423"/>
      <c r="I119" s="423"/>
    </row>
    <row r="120" spans="1:9">
      <c r="A120" s="396"/>
      <c r="B120" s="437"/>
      <c r="C120" s="396"/>
      <c r="D120" s="396"/>
      <c r="E120" s="396"/>
    </row>
    <row r="121" spans="1:9" ht="24">
      <c r="A121" s="415" t="s">
        <v>7</v>
      </c>
      <c r="B121" s="411" t="s">
        <v>218</v>
      </c>
      <c r="C121" s="436" t="s">
        <v>217</v>
      </c>
      <c r="D121" s="435" t="s">
        <v>254</v>
      </c>
      <c r="E121" s="415" t="s">
        <v>214</v>
      </c>
      <c r="F121" s="434" t="s">
        <v>213</v>
      </c>
      <c r="G121" s="415" t="s">
        <v>212</v>
      </c>
      <c r="H121" s="414" t="s">
        <v>210</v>
      </c>
      <c r="I121" s="414" t="s">
        <v>211</v>
      </c>
    </row>
    <row r="122" spans="1:9" ht="96">
      <c r="A122" s="412">
        <v>33</v>
      </c>
      <c r="B122" s="411" t="s">
        <v>237</v>
      </c>
      <c r="C122" s="413" t="s">
        <v>253</v>
      </c>
      <c r="D122" s="409">
        <v>2000</v>
      </c>
      <c r="E122" s="407">
        <f>'Detailed Budget'!J41</f>
        <v>205.28758886645858</v>
      </c>
      <c r="F122" s="406">
        <f>D122*E122</f>
        <v>410575.17773291713</v>
      </c>
      <c r="G122" s="550" t="s">
        <v>205</v>
      </c>
      <c r="H122" s="739" t="s">
        <v>236</v>
      </c>
      <c r="I122" s="397"/>
    </row>
    <row r="123" spans="1:9">
      <c r="A123" s="619"/>
      <c r="B123" s="620"/>
      <c r="C123" s="621"/>
      <c r="D123" s="435" t="s">
        <v>252</v>
      </c>
      <c r="E123" s="754"/>
      <c r="F123" s="753"/>
      <c r="G123" s="753"/>
      <c r="H123" s="753"/>
      <c r="I123" s="753"/>
    </row>
    <row r="124" spans="1:9" ht="96">
      <c r="A124" s="412">
        <v>34</v>
      </c>
      <c r="B124" s="411" t="s">
        <v>237</v>
      </c>
      <c r="C124" s="413" t="s">
        <v>251</v>
      </c>
      <c r="D124" s="409">
        <v>100</v>
      </c>
      <c r="E124" s="407">
        <f>+'Detailed Budget'!J42</f>
        <v>1537.1672329950586</v>
      </c>
      <c r="F124" s="406">
        <f>E124*D124</f>
        <v>153716.72329950586</v>
      </c>
      <c r="G124" s="550" t="s">
        <v>205</v>
      </c>
      <c r="H124" s="739" t="s">
        <v>236</v>
      </c>
      <c r="I124" s="397"/>
    </row>
    <row r="125" spans="1:9" ht="24">
      <c r="A125" s="412">
        <v>35</v>
      </c>
      <c r="B125" s="411" t="s">
        <v>229</v>
      </c>
      <c r="C125" s="413" t="s">
        <v>250</v>
      </c>
      <c r="D125" s="409">
        <v>100</v>
      </c>
      <c r="E125" s="407">
        <f>+'Detailed Budget'!J43</f>
        <v>531.41545566588798</v>
      </c>
      <c r="F125" s="406">
        <f>E125*D125</f>
        <v>53141.5455665888</v>
      </c>
      <c r="G125" s="550" t="s">
        <v>205</v>
      </c>
      <c r="H125" s="739" t="s">
        <v>236</v>
      </c>
      <c r="I125" s="397"/>
    </row>
    <row r="126" spans="1:9" ht="24">
      <c r="A126" s="644"/>
      <c r="B126" s="645"/>
      <c r="C126" s="645"/>
      <c r="D126" s="440" t="s">
        <v>249</v>
      </c>
      <c r="E126" s="754"/>
      <c r="F126" s="753"/>
      <c r="G126" s="753"/>
      <c r="H126" s="753"/>
      <c r="I126" s="753"/>
    </row>
    <row r="127" spans="1:9" ht="36">
      <c r="A127" s="412">
        <v>36</v>
      </c>
      <c r="B127" s="411" t="s">
        <v>245</v>
      </c>
      <c r="C127" s="413" t="s">
        <v>248</v>
      </c>
      <c r="D127" s="409">
        <v>70000</v>
      </c>
      <c r="E127" s="407">
        <f>'Detailed Budget'!J44</f>
        <v>30.868413775474139</v>
      </c>
      <c r="F127" s="406">
        <f>D127*E127</f>
        <v>2160788.9642831897</v>
      </c>
      <c r="G127" s="439" t="s">
        <v>225</v>
      </c>
      <c r="H127" s="774" t="s">
        <v>454</v>
      </c>
      <c r="I127" s="773" t="s">
        <v>247</v>
      </c>
    </row>
    <row r="128" spans="1:9">
      <c r="A128" s="619"/>
      <c r="B128" s="620"/>
      <c r="C128" s="621"/>
      <c r="D128" s="440" t="s">
        <v>246</v>
      </c>
      <c r="E128" s="754"/>
      <c r="F128" s="753"/>
      <c r="G128" s="753"/>
      <c r="H128" s="753"/>
      <c r="I128" s="753"/>
    </row>
    <row r="129" spans="1:9" ht="72">
      <c r="A129" s="412">
        <v>37</v>
      </c>
      <c r="B129" s="411" t="s">
        <v>245</v>
      </c>
      <c r="C129" s="413" t="s">
        <v>462</v>
      </c>
      <c r="D129" s="409">
        <v>1</v>
      </c>
      <c r="E129" s="407">
        <f>'Detailed Budget'!J45</f>
        <v>1479323.2114750906</v>
      </c>
      <c r="F129" s="406">
        <f>E129*D129</f>
        <v>1479323.2114750906</v>
      </c>
      <c r="G129" s="439" t="s">
        <v>225</v>
      </c>
      <c r="H129" s="774" t="s">
        <v>454</v>
      </c>
      <c r="I129" s="773" t="s">
        <v>244</v>
      </c>
    </row>
    <row r="130" spans="1:9">
      <c r="A130" s="396"/>
      <c r="B130" s="437"/>
      <c r="C130" s="396"/>
      <c r="D130" s="396"/>
      <c r="E130" s="396"/>
      <c r="G130" s="438"/>
    </row>
    <row r="131" spans="1:9">
      <c r="A131" s="396"/>
      <c r="C131" s="423" t="s">
        <v>243</v>
      </c>
      <c r="D131" s="423"/>
      <c r="E131" s="423"/>
      <c r="F131" s="423"/>
      <c r="G131" s="423"/>
      <c r="H131" s="423"/>
      <c r="I131" s="423"/>
    </row>
    <row r="132" spans="1:9">
      <c r="A132" s="396"/>
      <c r="B132" s="437"/>
      <c r="C132" s="396"/>
      <c r="D132" s="396"/>
      <c r="E132" s="396"/>
    </row>
    <row r="133" spans="1:9" ht="24">
      <c r="A133" s="415" t="s">
        <v>7</v>
      </c>
      <c r="B133" s="411" t="s">
        <v>218</v>
      </c>
      <c r="C133" s="436" t="s">
        <v>217</v>
      </c>
      <c r="D133" s="435" t="s">
        <v>242</v>
      </c>
      <c r="E133" s="415" t="s">
        <v>214</v>
      </c>
      <c r="F133" s="434" t="s">
        <v>213</v>
      </c>
      <c r="G133" s="415" t="s">
        <v>212</v>
      </c>
      <c r="H133" s="415" t="s">
        <v>210</v>
      </c>
    </row>
    <row r="134" spans="1:9" ht="48">
      <c r="A134" s="412">
        <v>38</v>
      </c>
      <c r="B134" s="411" t="s">
        <v>241</v>
      </c>
      <c r="C134" s="413" t="s">
        <v>461</v>
      </c>
      <c r="D134" s="409">
        <v>30</v>
      </c>
      <c r="E134" s="407">
        <f>'Detailed Budget'!J46</f>
        <v>15646.666666666666</v>
      </c>
      <c r="F134" s="406">
        <f>D134*E134</f>
        <v>469400</v>
      </c>
      <c r="G134" s="550" t="s">
        <v>205</v>
      </c>
      <c r="H134" s="739" t="s">
        <v>236</v>
      </c>
    </row>
    <row r="135" spans="1:9" ht="36">
      <c r="A135" s="412">
        <v>39</v>
      </c>
      <c r="B135" s="411" t="s">
        <v>229</v>
      </c>
      <c r="C135" s="413" t="s">
        <v>240</v>
      </c>
      <c r="D135" s="409">
        <v>3</v>
      </c>
      <c r="E135" s="407">
        <f>'Detailed Budget'!J47</f>
        <v>164000</v>
      </c>
      <c r="F135" s="406">
        <f>D135*E135</f>
        <v>492000</v>
      </c>
      <c r="G135" s="550" t="s">
        <v>205</v>
      </c>
      <c r="H135" s="739" t="s">
        <v>236</v>
      </c>
    </row>
    <row r="137" spans="1:9">
      <c r="C137" s="423" t="s">
        <v>239</v>
      </c>
      <c r="D137" s="423"/>
      <c r="E137" s="423"/>
      <c r="F137" s="423"/>
      <c r="G137" s="423"/>
      <c r="H137" s="423"/>
      <c r="I137" s="423"/>
    </row>
    <row r="138" spans="1:9">
      <c r="B138" s="437"/>
      <c r="C138" s="396"/>
      <c r="D138" s="396"/>
      <c r="E138" s="396"/>
    </row>
    <row r="139" spans="1:9" ht="24">
      <c r="A139" s="415" t="s">
        <v>7</v>
      </c>
      <c r="B139" s="411" t="s">
        <v>218</v>
      </c>
      <c r="C139" s="436" t="s">
        <v>217</v>
      </c>
      <c r="D139" s="435" t="s">
        <v>238</v>
      </c>
      <c r="E139" s="415" t="s">
        <v>214</v>
      </c>
      <c r="F139" s="434" t="s">
        <v>213</v>
      </c>
      <c r="G139" s="415" t="s">
        <v>212</v>
      </c>
      <c r="H139" s="415" t="s">
        <v>210</v>
      </c>
    </row>
    <row r="140" spans="1:9">
      <c r="A140" s="761">
        <v>40</v>
      </c>
      <c r="B140" s="761" t="s">
        <v>231</v>
      </c>
      <c r="C140" s="410" t="s">
        <v>460</v>
      </c>
      <c r="D140" s="759">
        <v>4</v>
      </c>
      <c r="E140" s="758">
        <f>F140/D140</f>
        <v>10000</v>
      </c>
      <c r="F140" s="757">
        <v>40000</v>
      </c>
      <c r="G140" s="772" t="s">
        <v>205</v>
      </c>
      <c r="H140" s="771" t="s">
        <v>236</v>
      </c>
    </row>
    <row r="141" spans="1:9" ht="60">
      <c r="A141" s="412">
        <v>41</v>
      </c>
      <c r="B141" s="411" t="s">
        <v>237</v>
      </c>
      <c r="C141" s="413" t="s">
        <v>459</v>
      </c>
      <c r="D141" s="409">
        <v>20</v>
      </c>
      <c r="E141" s="407">
        <f>'Detailed Budget'!J49</f>
        <v>33028.758886645854</v>
      </c>
      <c r="F141" s="406">
        <f>D141*E141</f>
        <v>660575.17773291701</v>
      </c>
      <c r="G141" s="550" t="s">
        <v>205</v>
      </c>
      <c r="H141" s="739" t="s">
        <v>236</v>
      </c>
    </row>
    <row r="142" spans="1:9">
      <c r="B142" s="437"/>
      <c r="C142" s="396"/>
      <c r="D142" s="396"/>
      <c r="E142" s="396"/>
    </row>
    <row r="143" spans="1:9">
      <c r="B143" s="437"/>
      <c r="C143" s="445" t="s">
        <v>443</v>
      </c>
      <c r="D143" s="406">
        <f>F122+F124+F125+F134+F135+F141</f>
        <v>2239408.6243319288</v>
      </c>
      <c r="E143" s="737">
        <f>D143/'Detailed Budget'!W51</f>
        <v>0.98245158872656124</v>
      </c>
    </row>
    <row r="144" spans="1:9">
      <c r="B144" s="437"/>
      <c r="C144" s="396"/>
      <c r="D144" s="396"/>
      <c r="E144" s="396"/>
    </row>
    <row r="145" spans="1:9">
      <c r="C145" s="423" t="s">
        <v>235</v>
      </c>
      <c r="D145" s="423"/>
      <c r="E145" s="423"/>
      <c r="F145" s="770"/>
      <c r="G145" s="423"/>
      <c r="H145" s="423"/>
      <c r="I145" s="423"/>
    </row>
    <row r="146" spans="1:9">
      <c r="C146" s="423" t="s">
        <v>234</v>
      </c>
      <c r="D146" s="423"/>
      <c r="E146" s="423"/>
      <c r="F146" s="423"/>
      <c r="G146" s="423"/>
      <c r="H146" s="423"/>
      <c r="I146" s="423"/>
    </row>
    <row r="147" spans="1:9">
      <c r="B147" s="437"/>
      <c r="C147" s="396"/>
      <c r="D147" s="396"/>
      <c r="E147" s="396"/>
    </row>
    <row r="148" spans="1:9" ht="24">
      <c r="A148" s="415" t="s">
        <v>7</v>
      </c>
      <c r="B148" s="411" t="s">
        <v>218</v>
      </c>
      <c r="C148" s="436" t="s">
        <v>217</v>
      </c>
      <c r="D148" s="435" t="s">
        <v>233</v>
      </c>
      <c r="E148" s="415" t="s">
        <v>214</v>
      </c>
      <c r="F148" s="434" t="s">
        <v>213</v>
      </c>
      <c r="G148" s="415" t="s">
        <v>212</v>
      </c>
      <c r="H148" s="414" t="s">
        <v>210</v>
      </c>
      <c r="I148" s="414" t="s">
        <v>211</v>
      </c>
    </row>
    <row r="149" spans="1:9" ht="36">
      <c r="A149" s="412">
        <v>42</v>
      </c>
      <c r="B149" s="411" t="s">
        <v>228</v>
      </c>
      <c r="C149" s="413" t="s">
        <v>232</v>
      </c>
      <c r="D149" s="409">
        <v>2</v>
      </c>
      <c r="E149" s="407">
        <f>'Detailed Budget'!J52</f>
        <v>27817.799328000008</v>
      </c>
      <c r="F149" s="406">
        <f>D149*E149</f>
        <v>55635.598656000016</v>
      </c>
      <c r="G149" s="550" t="s">
        <v>205</v>
      </c>
      <c r="H149" s="739" t="s">
        <v>445</v>
      </c>
      <c r="I149" s="397"/>
    </row>
    <row r="150" spans="1:9" ht="36">
      <c r="A150" s="769">
        <v>43</v>
      </c>
      <c r="B150" s="761" t="s">
        <v>229</v>
      </c>
      <c r="C150" s="410" t="s">
        <v>458</v>
      </c>
      <c r="D150" s="759">
        <v>2</v>
      </c>
      <c r="E150" s="758">
        <v>60000</v>
      </c>
      <c r="F150" s="765">
        <f>D150*E150</f>
        <v>120000</v>
      </c>
      <c r="G150" s="623" t="s">
        <v>205</v>
      </c>
      <c r="H150" s="768" t="s">
        <v>236</v>
      </c>
      <c r="I150" s="767"/>
    </row>
    <row r="151" spans="1:9">
      <c r="A151" s="766"/>
      <c r="B151" s="761"/>
      <c r="C151" s="410" t="s">
        <v>457</v>
      </c>
      <c r="D151" s="759">
        <v>1</v>
      </c>
      <c r="E151" s="758">
        <v>400000</v>
      </c>
      <c r="F151" s="765">
        <f>D151*E151</f>
        <v>400000</v>
      </c>
      <c r="G151" s="624"/>
      <c r="H151" s="764"/>
      <c r="I151" s="763"/>
    </row>
    <row r="152" spans="1:9">
      <c r="A152" s="762"/>
      <c r="B152" s="761"/>
      <c r="C152" s="760" t="s">
        <v>456</v>
      </c>
      <c r="D152" s="759"/>
      <c r="E152" s="758"/>
      <c r="F152" s="757">
        <f>SUM(F150:F151)</f>
        <v>520000</v>
      </c>
      <c r="G152" s="625"/>
      <c r="H152" s="756"/>
      <c r="I152" s="755"/>
    </row>
    <row r="153" spans="1:9" ht="36">
      <c r="A153" s="412">
        <v>44</v>
      </c>
      <c r="B153" s="411" t="s">
        <v>231</v>
      </c>
      <c r="C153" s="413" t="s">
        <v>230</v>
      </c>
      <c r="D153" s="409">
        <v>6</v>
      </c>
      <c r="E153" s="407">
        <f>'Detailed Budget'!J54</f>
        <v>13333.333333333334</v>
      </c>
      <c r="F153" s="406">
        <f>D153*E153</f>
        <v>80000</v>
      </c>
      <c r="G153" s="550" t="s">
        <v>205</v>
      </c>
      <c r="H153" s="739" t="s">
        <v>236</v>
      </c>
      <c r="I153" s="397"/>
    </row>
    <row r="154" spans="1:9" ht="72" customHeight="1">
      <c r="A154" s="412">
        <v>45</v>
      </c>
      <c r="B154" s="411" t="s">
        <v>229</v>
      </c>
      <c r="C154" s="413" t="s">
        <v>455</v>
      </c>
      <c r="D154" s="409">
        <v>6</v>
      </c>
      <c r="E154" s="407">
        <f>'Detailed Budget'!J55</f>
        <v>31625</v>
      </c>
      <c r="F154" s="406">
        <f>D154*E154</f>
        <v>189750</v>
      </c>
      <c r="G154" s="550" t="s">
        <v>205</v>
      </c>
      <c r="H154" s="739" t="s">
        <v>236</v>
      </c>
      <c r="I154" s="397"/>
    </row>
    <row r="155" spans="1:9" ht="48">
      <c r="A155" s="412">
        <v>46</v>
      </c>
      <c r="B155" s="411" t="s">
        <v>228</v>
      </c>
      <c r="C155" s="413" t="s">
        <v>227</v>
      </c>
      <c r="D155" s="409">
        <v>1</v>
      </c>
      <c r="E155" s="407">
        <f>'Detailed Budget'!J56</f>
        <v>51514.443200000002</v>
      </c>
      <c r="F155" s="406">
        <f>D155*E155</f>
        <v>51514.443200000002</v>
      </c>
      <c r="G155" s="550" t="s">
        <v>205</v>
      </c>
      <c r="H155" s="739" t="s">
        <v>236</v>
      </c>
      <c r="I155" s="397"/>
    </row>
    <row r="156" spans="1:9">
      <c r="A156" s="619"/>
      <c r="B156" s="620"/>
      <c r="C156" s="621"/>
      <c r="D156" s="435" t="s">
        <v>216</v>
      </c>
      <c r="E156" s="754"/>
      <c r="F156" s="753"/>
      <c r="G156" s="753"/>
      <c r="H156" s="753"/>
      <c r="I156" s="753"/>
    </row>
    <row r="157" spans="1:9">
      <c r="A157" s="633">
        <v>47</v>
      </c>
      <c r="B157" s="630" t="s">
        <v>207</v>
      </c>
      <c r="C157" s="413" t="s">
        <v>226</v>
      </c>
      <c r="D157" s="409">
        <v>7</v>
      </c>
      <c r="E157" s="407">
        <f>F157/D157</f>
        <v>1579378.6383213738</v>
      </c>
      <c r="F157" s="433">
        <f>48*F159/100</f>
        <v>11055650.468249617</v>
      </c>
      <c r="G157" s="627" t="s">
        <v>225</v>
      </c>
      <c r="H157" s="752" t="s">
        <v>454</v>
      </c>
      <c r="I157" s="752" t="s">
        <v>224</v>
      </c>
    </row>
    <row r="158" spans="1:9" ht="24">
      <c r="A158" s="634"/>
      <c r="B158" s="631"/>
      <c r="C158" s="413" t="s">
        <v>223</v>
      </c>
      <c r="D158" s="409">
        <v>7</v>
      </c>
      <c r="E158" s="407">
        <f>F158/D158</f>
        <v>1710993.524848155</v>
      </c>
      <c r="F158" s="433">
        <f>52*F159/100</f>
        <v>11976954.673937084</v>
      </c>
      <c r="G158" s="628"/>
      <c r="H158" s="751"/>
      <c r="I158" s="751"/>
    </row>
    <row r="159" spans="1:9">
      <c r="A159" s="635"/>
      <c r="B159" s="632"/>
      <c r="C159" s="432" t="s">
        <v>222</v>
      </c>
      <c r="D159" s="431"/>
      <c r="E159" s="750">
        <f>SUM(E157:E158)</f>
        <v>3290372.1631695288</v>
      </c>
      <c r="F159" s="406">
        <v>23032605.142186701</v>
      </c>
      <c r="G159" s="629"/>
      <c r="H159" s="749"/>
      <c r="I159" s="749"/>
    </row>
    <row r="160" spans="1:9">
      <c r="B160" s="430"/>
      <c r="C160" s="429"/>
      <c r="F160" s="428"/>
    </row>
    <row r="161" spans="1:9">
      <c r="C161" s="423" t="s">
        <v>221</v>
      </c>
      <c r="D161" s="423"/>
      <c r="E161" s="423"/>
      <c r="F161" s="427"/>
      <c r="G161" s="423"/>
      <c r="H161" s="423"/>
      <c r="I161" s="423"/>
    </row>
    <row r="162" spans="1:9">
      <c r="B162" s="426"/>
      <c r="C162" s="424"/>
      <c r="D162" s="424"/>
      <c r="E162" s="424"/>
      <c r="F162" s="425"/>
      <c r="G162" s="424"/>
      <c r="H162" s="424"/>
      <c r="I162" s="424"/>
    </row>
    <row r="163" spans="1:9" ht="24">
      <c r="A163" s="415" t="s">
        <v>7</v>
      </c>
      <c r="B163" s="411" t="s">
        <v>218</v>
      </c>
      <c r="C163" s="415" t="s">
        <v>217</v>
      </c>
      <c r="D163" s="415" t="s">
        <v>216</v>
      </c>
      <c r="E163" s="415" t="s">
        <v>215</v>
      </c>
      <c r="F163" s="415" t="s">
        <v>214</v>
      </c>
      <c r="G163" s="415" t="s">
        <v>213</v>
      </c>
      <c r="H163" s="415" t="s">
        <v>212</v>
      </c>
      <c r="I163" s="414" t="s">
        <v>210</v>
      </c>
    </row>
    <row r="164" spans="1:9">
      <c r="A164" s="412">
        <v>48</v>
      </c>
      <c r="B164" s="411" t="s">
        <v>207</v>
      </c>
      <c r="C164" s="413" t="s">
        <v>453</v>
      </c>
      <c r="D164" s="744">
        <v>6</v>
      </c>
      <c r="E164" s="743">
        <v>1</v>
      </c>
      <c r="F164" s="742">
        <v>19400</v>
      </c>
      <c r="G164" s="741">
        <f>D164*F164*E164</f>
        <v>116400</v>
      </c>
      <c r="H164" s="550" t="s">
        <v>205</v>
      </c>
      <c r="I164" s="748" t="s">
        <v>450</v>
      </c>
    </row>
    <row r="165" spans="1:9">
      <c r="A165" s="412">
        <v>49</v>
      </c>
      <c r="B165" s="411" t="s">
        <v>207</v>
      </c>
      <c r="C165" s="410" t="s">
        <v>428</v>
      </c>
      <c r="D165" s="744">
        <v>6</v>
      </c>
      <c r="E165" s="743">
        <v>1</v>
      </c>
      <c r="F165" s="742">
        <f>'Detailed Budget'!J59</f>
        <v>18240</v>
      </c>
      <c r="G165" s="741">
        <f>D165*F165*E165</f>
        <v>109440</v>
      </c>
      <c r="H165" s="550" t="s">
        <v>205</v>
      </c>
      <c r="I165" s="748" t="s">
        <v>450</v>
      </c>
    </row>
    <row r="166" spans="1:9">
      <c r="A166" s="412">
        <v>50</v>
      </c>
      <c r="B166" s="411" t="s">
        <v>207</v>
      </c>
      <c r="C166" s="410" t="s">
        <v>427</v>
      </c>
      <c r="D166" s="744">
        <v>6</v>
      </c>
      <c r="E166" s="743">
        <v>1</v>
      </c>
      <c r="F166" s="742">
        <v>15800</v>
      </c>
      <c r="G166" s="741">
        <f>D166*F166*E166</f>
        <v>94800</v>
      </c>
      <c r="H166" s="550" t="s">
        <v>205</v>
      </c>
      <c r="I166" s="748" t="s">
        <v>450</v>
      </c>
    </row>
    <row r="167" spans="1:9" ht="24">
      <c r="A167" s="412">
        <v>51</v>
      </c>
      <c r="B167" s="411" t="s">
        <v>207</v>
      </c>
      <c r="C167" s="413" t="s">
        <v>452</v>
      </c>
      <c r="D167" s="744">
        <v>6</v>
      </c>
      <c r="E167" s="743">
        <v>2</v>
      </c>
      <c r="F167" s="742">
        <v>15020</v>
      </c>
      <c r="G167" s="741">
        <f>D167*F167*E167</f>
        <v>180240</v>
      </c>
      <c r="H167" s="550" t="s">
        <v>205</v>
      </c>
      <c r="I167" s="748" t="s">
        <v>451</v>
      </c>
    </row>
    <row r="168" spans="1:9">
      <c r="A168" s="412">
        <v>52</v>
      </c>
      <c r="B168" s="411" t="s">
        <v>207</v>
      </c>
      <c r="C168" s="413" t="s">
        <v>425</v>
      </c>
      <c r="D168" s="744">
        <v>6</v>
      </c>
      <c r="E168" s="743">
        <v>1</v>
      </c>
      <c r="F168" s="742">
        <v>15000</v>
      </c>
      <c r="G168" s="741">
        <f>D168*F168*E168</f>
        <v>90000</v>
      </c>
      <c r="H168" s="550" t="s">
        <v>205</v>
      </c>
      <c r="I168" s="748" t="s">
        <v>450</v>
      </c>
    </row>
    <row r="169" spans="1:9">
      <c r="A169" s="412">
        <v>53</v>
      </c>
      <c r="B169" s="411" t="s">
        <v>207</v>
      </c>
      <c r="C169" s="413" t="s">
        <v>220</v>
      </c>
      <c r="D169" s="744">
        <v>6</v>
      </c>
      <c r="E169" s="743">
        <v>1</v>
      </c>
      <c r="F169" s="742">
        <v>4600</v>
      </c>
      <c r="G169" s="741">
        <f>D169*F169*E169</f>
        <v>27600</v>
      </c>
      <c r="H169" s="550" t="s">
        <v>205</v>
      </c>
      <c r="I169" s="748" t="s">
        <v>450</v>
      </c>
    </row>
    <row r="170" spans="1:9">
      <c r="A170" s="422"/>
      <c r="B170" s="421"/>
      <c r="C170" s="420"/>
      <c r="D170" s="419"/>
      <c r="E170" s="418"/>
      <c r="F170" s="417"/>
      <c r="G170" s="416"/>
    </row>
    <row r="171" spans="1:9">
      <c r="A171" s="422"/>
      <c r="C171" s="423" t="s">
        <v>219</v>
      </c>
      <c r="D171" s="423"/>
      <c r="E171" s="423"/>
      <c r="F171" s="423"/>
      <c r="G171" s="747"/>
      <c r="H171" s="746"/>
      <c r="I171" s="423"/>
    </row>
    <row r="172" spans="1:9">
      <c r="A172" s="422"/>
      <c r="B172" s="421"/>
      <c r="C172" s="420"/>
      <c r="D172" s="419"/>
      <c r="E172" s="418"/>
      <c r="F172" s="417"/>
      <c r="G172" s="416"/>
    </row>
    <row r="173" spans="1:9" ht="24">
      <c r="A173" s="415" t="s">
        <v>7</v>
      </c>
      <c r="B173" s="411" t="s">
        <v>218</v>
      </c>
      <c r="C173" s="415" t="s">
        <v>217</v>
      </c>
      <c r="D173" s="415" t="s">
        <v>216</v>
      </c>
      <c r="E173" s="415" t="s">
        <v>215</v>
      </c>
      <c r="F173" s="415" t="s">
        <v>214</v>
      </c>
      <c r="G173" s="415" t="s">
        <v>213</v>
      </c>
      <c r="H173" s="415" t="s">
        <v>212</v>
      </c>
      <c r="I173" s="414" t="s">
        <v>449</v>
      </c>
    </row>
    <row r="174" spans="1:9" ht="96">
      <c r="A174" s="412">
        <v>54</v>
      </c>
      <c r="B174" s="411" t="s">
        <v>207</v>
      </c>
      <c r="C174" s="413" t="s">
        <v>448</v>
      </c>
      <c r="D174" s="409">
        <v>6</v>
      </c>
      <c r="E174" s="408">
        <v>1</v>
      </c>
      <c r="F174" s="407">
        <f>'Detailed Budget'!J64</f>
        <v>23782.002514578799</v>
      </c>
      <c r="G174" s="406">
        <f>D174*F174*E174</f>
        <v>142692.0150874728</v>
      </c>
      <c r="H174" s="550" t="s">
        <v>205</v>
      </c>
      <c r="I174" s="739" t="s">
        <v>445</v>
      </c>
    </row>
    <row r="175" spans="1:9" ht="144">
      <c r="A175" s="412">
        <v>55</v>
      </c>
      <c r="B175" s="411" t="s">
        <v>207</v>
      </c>
      <c r="C175" s="410" t="s">
        <v>447</v>
      </c>
      <c r="D175" s="409">
        <v>6</v>
      </c>
      <c r="E175" s="408">
        <v>1</v>
      </c>
      <c r="F175" s="407">
        <f>'Detailed Budget'!J65</f>
        <v>113333</v>
      </c>
      <c r="G175" s="406">
        <f>D175*F175*E175</f>
        <v>679998</v>
      </c>
      <c r="H175" s="550" t="s">
        <v>205</v>
      </c>
      <c r="I175" s="739" t="s">
        <v>236</v>
      </c>
    </row>
    <row r="176" spans="1:9" ht="108">
      <c r="A176" s="745">
        <v>56</v>
      </c>
      <c r="B176" s="745" t="s">
        <v>207</v>
      </c>
      <c r="C176" s="413" t="s">
        <v>446</v>
      </c>
      <c r="D176" s="744">
        <v>6</v>
      </c>
      <c r="E176" s="743">
        <v>1</v>
      </c>
      <c r="F176" s="742">
        <f>G176/D176</f>
        <v>83333.333333333328</v>
      </c>
      <c r="G176" s="741">
        <v>500000</v>
      </c>
      <c r="H176" s="550" t="s">
        <v>205</v>
      </c>
      <c r="I176" s="740" t="s">
        <v>236</v>
      </c>
    </row>
    <row r="177" spans="1:9">
      <c r="A177" s="412">
        <v>57</v>
      </c>
      <c r="B177" s="411" t="s">
        <v>207</v>
      </c>
      <c r="C177" s="413" t="s">
        <v>209</v>
      </c>
      <c r="D177" s="409">
        <v>6</v>
      </c>
      <c r="E177" s="408">
        <v>1</v>
      </c>
      <c r="F177" s="407">
        <f>'Detailed Budget'!J67</f>
        <v>5822.1075469858779</v>
      </c>
      <c r="G177" s="406">
        <f>D177*F177*E177</f>
        <v>34932.645281915269</v>
      </c>
      <c r="H177" s="550" t="s">
        <v>205</v>
      </c>
      <c r="I177" s="739" t="s">
        <v>445</v>
      </c>
    </row>
    <row r="178" spans="1:9">
      <c r="A178" s="412">
        <v>58</v>
      </c>
      <c r="B178" s="411" t="s">
        <v>207</v>
      </c>
      <c r="C178" s="413" t="s">
        <v>208</v>
      </c>
      <c r="D178" s="409">
        <v>6</v>
      </c>
      <c r="E178" s="408">
        <v>1</v>
      </c>
      <c r="F178" s="407">
        <f>'Detailed Budget'!J68</f>
        <v>2548.0716979905851</v>
      </c>
      <c r="G178" s="406">
        <f>D178*F178*E178</f>
        <v>15288.430187943512</v>
      </c>
      <c r="H178" s="550" t="s">
        <v>205</v>
      </c>
      <c r="I178" s="739" t="s">
        <v>445</v>
      </c>
    </row>
    <row r="179" spans="1:9">
      <c r="A179" s="412">
        <v>59</v>
      </c>
      <c r="B179" s="411" t="s">
        <v>207</v>
      </c>
      <c r="C179" s="410" t="s">
        <v>206</v>
      </c>
      <c r="D179" s="409">
        <v>6</v>
      </c>
      <c r="E179" s="408">
        <v>1</v>
      </c>
      <c r="F179" s="407">
        <f>'Detailed Budget'!J69</f>
        <v>16666.666666666668</v>
      </c>
      <c r="G179" s="406">
        <f>D179*F179*E179</f>
        <v>100000</v>
      </c>
      <c r="H179" s="550" t="s">
        <v>205</v>
      </c>
      <c r="I179" s="739" t="s">
        <v>444</v>
      </c>
    </row>
    <row r="181" spans="1:9">
      <c r="C181" s="441" t="s">
        <v>443</v>
      </c>
      <c r="D181" s="406">
        <f>G176/7</f>
        <v>71428.571428571435</v>
      </c>
      <c r="E181" s="737">
        <f>D181/'Detailed Budget'!W70</f>
        <v>2.3902815443181413E-2</v>
      </c>
    </row>
    <row r="182" spans="1:9">
      <c r="C182" s="441" t="s">
        <v>442</v>
      </c>
      <c r="D182" s="406">
        <f>D88+D115+D143+D181</f>
        <v>14564504.846564289</v>
      </c>
      <c r="E182" s="737">
        <f>D182/'Detailed Budget'!R72</f>
        <v>0.27040908998486934</v>
      </c>
    </row>
    <row r="183" spans="1:9">
      <c r="D183" s="396"/>
      <c r="E183" s="396"/>
    </row>
    <row r="184" spans="1:9">
      <c r="C184" s="738" t="s">
        <v>441</v>
      </c>
      <c r="D184" s="406">
        <f>F28+F36+F46+F52+F77/2+F105</f>
        <v>9165342.174788557</v>
      </c>
      <c r="E184" s="737">
        <f>D184/'Detailed Budget'!R72</f>
        <v>0.17016657023318993</v>
      </c>
    </row>
    <row r="185" spans="1:9">
      <c r="E185" s="405"/>
      <c r="F185" s="736" t="s">
        <v>204</v>
      </c>
      <c r="G185" s="735">
        <f>SUM(F26:F28,F35:F36,F38:F39,F44:F46,F51:F52,F58,F63,F68,F85:F86,F70,F72:F74,F103,F105,F113,F122,F124:F125,F134:F135,F140:F141,F152:F155,G164:G169,G174:G179,F75,F76,F77)+F149</f>
        <v>53861003.146673955</v>
      </c>
      <c r="I185" s="399">
        <f>G185-'Detailed Budget'!R72</f>
        <v>0</v>
      </c>
    </row>
    <row r="186" spans="1:9">
      <c r="F186" s="736" t="s">
        <v>203</v>
      </c>
      <c r="G186" s="735">
        <f>SUM(F29,F30,F79,F80,F106,F107,F127,F129,F157,F158)</f>
        <v>96986440.846621528</v>
      </c>
      <c r="I186" s="403">
        <f>G186-'Detailed Budget'!R73</f>
        <v>0</v>
      </c>
    </row>
  </sheetData>
  <mergeCells count="33">
    <mergeCell ref="A78:C78"/>
    <mergeCell ref="B95:B103"/>
    <mergeCell ref="A95:A103"/>
    <mergeCell ref="I22:I26"/>
    <mergeCell ref="H157:H159"/>
    <mergeCell ref="G22:G26"/>
    <mergeCell ref="E126:I126"/>
    <mergeCell ref="E128:I128"/>
    <mergeCell ref="G157:G159"/>
    <mergeCell ref="I157:I159"/>
    <mergeCell ref="A37:C37"/>
    <mergeCell ref="C33:G33"/>
    <mergeCell ref="A22:A26"/>
    <mergeCell ref="B22:B26"/>
    <mergeCell ref="A71:C71"/>
    <mergeCell ref="E37:H37"/>
    <mergeCell ref="D26:E26"/>
    <mergeCell ref="B157:B159"/>
    <mergeCell ref="A156:C156"/>
    <mergeCell ref="A157:A159"/>
    <mergeCell ref="G95:G103"/>
    <mergeCell ref="A128:C128"/>
    <mergeCell ref="A126:C126"/>
    <mergeCell ref="A123:C123"/>
    <mergeCell ref="G150:G152"/>
    <mergeCell ref="E156:I156"/>
    <mergeCell ref="E123:I123"/>
    <mergeCell ref="A150:A152"/>
    <mergeCell ref="A104:C104"/>
    <mergeCell ref="E104:I104"/>
    <mergeCell ref="H95:H103"/>
    <mergeCell ref="H150:H152"/>
    <mergeCell ref="I150:I152"/>
  </mergeCells>
  <pageMargins left="0.7" right="0.7" top="0.75" bottom="0.75" header="0.3" footer="0.3"/>
  <pageSetup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sheetPr>
    <tabColor rgb="FFFF0000"/>
    <pageSetUpPr fitToPage="1"/>
  </sheetPr>
  <dimension ref="A1:BB116"/>
  <sheetViews>
    <sheetView showGridLines="0" topLeftCell="G1" zoomScaleSheetLayoutView="90" workbookViewId="0">
      <pane ySplit="1" topLeftCell="A5" activePane="bottomLeft" state="frozen"/>
      <selection pane="bottomLeft" activeCell="Q18" sqref="Q18"/>
    </sheetView>
  </sheetViews>
  <sheetFormatPr defaultColWidth="17.42578125" defaultRowHeight="15" outlineLevelCol="1"/>
  <cols>
    <col min="1" max="1" width="26.7109375" style="487" customWidth="1"/>
    <col min="2" max="2" width="38.28515625" style="487" customWidth="1"/>
    <col min="3" max="3" width="58.42578125" style="487" customWidth="1"/>
    <col min="4" max="4" width="17.42578125" style="487"/>
    <col min="5" max="5" width="17.42578125" style="487" customWidth="1"/>
    <col min="6" max="6" width="43.28515625" style="486" customWidth="1"/>
    <col min="7" max="7" width="12.5703125" style="486" customWidth="1"/>
    <col min="8" max="9" width="12.5703125" style="485" customWidth="1"/>
    <col min="10" max="10" width="26.42578125" style="485" customWidth="1"/>
    <col min="11" max="11" width="21" style="485" customWidth="1"/>
    <col min="12" max="12" width="18.5703125" style="485" customWidth="1"/>
    <col min="13" max="17" width="13.140625" style="485" bestFit="1" customWidth="1"/>
    <col min="18" max="18" width="19.85546875" style="502" hidden="1" customWidth="1" outlineLevel="1"/>
    <col min="19" max="20" width="21.85546875" style="485" hidden="1" customWidth="1" outlineLevel="1"/>
    <col min="21" max="21" width="23.7109375" style="485" hidden="1" customWidth="1" outlineLevel="1"/>
    <col min="22" max="22" width="21.85546875" style="485" hidden="1" customWidth="1" outlineLevel="1"/>
    <col min="23" max="23" width="20.7109375" style="485" bestFit="1" customWidth="1" collapsed="1"/>
    <col min="24" max="24" width="18" style="485" bestFit="1" customWidth="1"/>
    <col min="25" max="25" width="6" style="485" customWidth="1"/>
    <col min="26" max="16384" width="17.42578125" style="485"/>
  </cols>
  <sheetData>
    <row r="1" spans="1:52" s="487" customFormat="1" ht="45">
      <c r="A1" s="547" t="s">
        <v>414</v>
      </c>
      <c r="B1" s="547" t="s">
        <v>413</v>
      </c>
      <c r="C1" s="547" t="s">
        <v>412</v>
      </c>
      <c r="D1" s="547" t="s">
        <v>411</v>
      </c>
      <c r="E1" s="547" t="s">
        <v>410</v>
      </c>
      <c r="F1" s="547" t="s">
        <v>409</v>
      </c>
      <c r="G1" s="549" t="s">
        <v>408</v>
      </c>
      <c r="H1" s="547" t="s">
        <v>9</v>
      </c>
      <c r="I1" s="547" t="s">
        <v>22</v>
      </c>
      <c r="J1" s="547" t="s">
        <v>407</v>
      </c>
      <c r="K1" s="547" t="s">
        <v>440</v>
      </c>
      <c r="L1" s="547" t="s">
        <v>439</v>
      </c>
      <c r="M1" s="547" t="s">
        <v>438</v>
      </c>
      <c r="N1" s="547" t="s">
        <v>437</v>
      </c>
      <c r="O1" s="547" t="s">
        <v>436</v>
      </c>
      <c r="P1" s="547" t="s">
        <v>435</v>
      </c>
      <c r="Q1" s="547" t="s">
        <v>434</v>
      </c>
      <c r="R1" s="547" t="s">
        <v>433</v>
      </c>
      <c r="S1" s="547" t="s">
        <v>406</v>
      </c>
      <c r="T1" s="547" t="s">
        <v>432</v>
      </c>
      <c r="U1" s="547" t="s">
        <v>405</v>
      </c>
      <c r="V1" s="547" t="s">
        <v>431</v>
      </c>
      <c r="W1" s="548"/>
      <c r="X1" s="548"/>
    </row>
    <row r="2" spans="1:52" ht="69.75" customHeight="1">
      <c r="A2" s="648" t="s">
        <v>331</v>
      </c>
      <c r="B2" s="711" t="s">
        <v>330</v>
      </c>
      <c r="C2" s="648" t="s">
        <v>404</v>
      </c>
      <c r="D2" s="646" t="s">
        <v>205</v>
      </c>
      <c r="E2" s="560" t="s">
        <v>350</v>
      </c>
      <c r="F2" s="523" t="s">
        <v>273</v>
      </c>
      <c r="G2" s="536" t="s">
        <v>328</v>
      </c>
      <c r="H2" s="518" t="s">
        <v>401</v>
      </c>
      <c r="I2" s="717">
        <f>K2/J2</f>
        <v>6058.1525255424522</v>
      </c>
      <c r="J2" s="717">
        <v>1998.9139141499215</v>
      </c>
      <c r="K2" s="717">
        <v>12109725.377349295</v>
      </c>
      <c r="L2" s="717">
        <v>399000</v>
      </c>
      <c r="M2" s="717">
        <f>3739000-3758.20755023507</f>
        <v>3735241.7924497649</v>
      </c>
      <c r="N2" s="717">
        <v>3464000</v>
      </c>
      <c r="O2" s="717">
        <f>2695000-3758.20755023507</f>
        <v>2691241.7924497649</v>
      </c>
      <c r="P2" s="717">
        <f>1824000-3758.20755023507</f>
        <v>1820241.7924497649</v>
      </c>
      <c r="Q2" s="717">
        <v>0</v>
      </c>
      <c r="R2" s="717">
        <f>L2+M2+N2+O2+P2+Q2</f>
        <v>12109725.377349295</v>
      </c>
      <c r="S2" s="717">
        <f>R2</f>
        <v>12109725.377349295</v>
      </c>
      <c r="T2" s="717"/>
      <c r="U2" s="717">
        <v>0</v>
      </c>
      <c r="V2" s="717"/>
      <c r="W2" s="704"/>
      <c r="X2" s="704"/>
    </row>
    <row r="3" spans="1:52" ht="36" customHeight="1">
      <c r="A3" s="652"/>
      <c r="B3" s="651"/>
      <c r="C3" s="652"/>
      <c r="D3" s="650"/>
      <c r="E3" s="560" t="s">
        <v>350</v>
      </c>
      <c r="F3" s="523" t="s">
        <v>403</v>
      </c>
      <c r="G3" s="536" t="s">
        <v>322</v>
      </c>
      <c r="H3" s="518" t="s">
        <v>402</v>
      </c>
      <c r="I3" s="717">
        <v>60</v>
      </c>
      <c r="J3" s="717">
        <v>10633</v>
      </c>
      <c r="K3" s="717">
        <v>637980</v>
      </c>
      <c r="L3" s="717">
        <v>127596</v>
      </c>
      <c r="M3" s="717">
        <v>127596</v>
      </c>
      <c r="N3" s="717">
        <v>127596</v>
      </c>
      <c r="O3" s="717">
        <v>127596</v>
      </c>
      <c r="P3" s="717">
        <v>127596</v>
      </c>
      <c r="Q3" s="717">
        <v>0</v>
      </c>
      <c r="R3" s="717">
        <f>L3+M3+N3+O3+P3+Q3</f>
        <v>637980</v>
      </c>
      <c r="S3" s="717">
        <f>R3</f>
        <v>637980</v>
      </c>
      <c r="T3" s="717"/>
      <c r="U3" s="717"/>
      <c r="V3" s="717"/>
      <c r="W3" s="704"/>
      <c r="X3" s="704"/>
    </row>
    <row r="4" spans="1:52" s="538" customFormat="1">
      <c r="A4" s="652"/>
      <c r="B4" s="651"/>
      <c r="C4" s="652"/>
      <c r="D4" s="650"/>
      <c r="E4" s="560" t="s">
        <v>349</v>
      </c>
      <c r="F4" s="523" t="s">
        <v>245</v>
      </c>
      <c r="G4" s="536">
        <v>2</v>
      </c>
      <c r="H4" s="518" t="s">
        <v>401</v>
      </c>
      <c r="I4" s="717">
        <v>15000</v>
      </c>
      <c r="J4" s="717">
        <f>(K4/I4)</f>
        <v>162.11713605930873</v>
      </c>
      <c r="K4" s="717">
        <v>2431757.040889631</v>
      </c>
      <c r="L4" s="717">
        <f>92856.4978545664+30000</f>
        <v>122856.49785456641</v>
      </c>
      <c r="M4" s="717">
        <f>682365.130801749+30000</f>
        <v>712365.13080174895</v>
      </c>
      <c r="N4" s="717">
        <f>633961.339320645+30000</f>
        <v>663961.33932064497</v>
      </c>
      <c r="O4" s="717">
        <f>498135.814194162+30000</f>
        <v>528135.81419416203</v>
      </c>
      <c r="P4" s="717">
        <f>344438.258718509+30000</f>
        <v>374438.25871850899</v>
      </c>
      <c r="Q4" s="717">
        <v>30000</v>
      </c>
      <c r="R4" s="717">
        <f>L4+M4+N4+O4+P4+Q4</f>
        <v>2431757.040889631</v>
      </c>
      <c r="S4" s="717">
        <v>0</v>
      </c>
      <c r="T4" s="717"/>
      <c r="U4" s="717">
        <f>(R4)</f>
        <v>2431757.040889631</v>
      </c>
      <c r="V4" s="717"/>
      <c r="W4" s="704"/>
      <c r="X4" s="704"/>
      <c r="Y4" s="485"/>
      <c r="Z4" s="485"/>
      <c r="AA4" s="485"/>
      <c r="AB4" s="485"/>
      <c r="AC4" s="485"/>
      <c r="AD4" s="485"/>
      <c r="AE4" s="485"/>
      <c r="AF4" s="485"/>
      <c r="AG4" s="485"/>
      <c r="AH4" s="485"/>
      <c r="AI4" s="485"/>
      <c r="AJ4" s="485"/>
      <c r="AK4" s="485"/>
      <c r="AL4" s="485"/>
      <c r="AM4" s="485"/>
      <c r="AN4" s="485"/>
      <c r="AO4" s="485"/>
      <c r="AP4" s="485"/>
      <c r="AQ4" s="485"/>
      <c r="AR4" s="485"/>
      <c r="AS4" s="485"/>
      <c r="AT4" s="485"/>
      <c r="AU4" s="485"/>
      <c r="AV4" s="485"/>
      <c r="AW4" s="485"/>
      <c r="AX4" s="485"/>
      <c r="AY4" s="485"/>
      <c r="AZ4" s="485"/>
    </row>
    <row r="5" spans="1:52" s="538" customFormat="1">
      <c r="A5" s="652"/>
      <c r="B5" s="651"/>
      <c r="C5" s="652"/>
      <c r="D5" s="655" t="s">
        <v>373</v>
      </c>
      <c r="E5" s="521" t="s">
        <v>350</v>
      </c>
      <c r="F5" s="539" t="s">
        <v>264</v>
      </c>
      <c r="G5" s="536">
        <f>G4+1</f>
        <v>3</v>
      </c>
      <c r="H5" s="521" t="s">
        <v>401</v>
      </c>
      <c r="I5" s="713">
        <v>16270</v>
      </c>
      <c r="J5" s="713">
        <f>(K5/I5)</f>
        <v>357.81165548684896</v>
      </c>
      <c r="K5" s="713">
        <v>5821595.6347710323</v>
      </c>
      <c r="L5" s="713">
        <v>1623251.527607837</v>
      </c>
      <c r="M5" s="713">
        <v>1190257.5494776554</v>
      </c>
      <c r="N5" s="713">
        <v>1011872.1286124199</v>
      </c>
      <c r="O5" s="713">
        <v>879635.68742747116</v>
      </c>
      <c r="P5" s="713">
        <v>1116578.7416456486</v>
      </c>
      <c r="Q5" s="713">
        <v>0</v>
      </c>
      <c r="R5" s="713">
        <f>L5+M5+N5+O5+P5+Q5</f>
        <v>5821595.6347710323</v>
      </c>
      <c r="S5" s="713">
        <v>0</v>
      </c>
      <c r="T5" s="713">
        <f>R5</f>
        <v>5821595.6347710323</v>
      </c>
      <c r="U5" s="713">
        <v>0</v>
      </c>
      <c r="V5" s="713"/>
      <c r="W5" s="734"/>
      <c r="X5" s="704"/>
      <c r="Y5" s="485"/>
      <c r="Z5" s="485"/>
      <c r="AA5" s="485"/>
      <c r="AB5" s="485"/>
      <c r="AC5" s="485"/>
      <c r="AD5" s="485"/>
      <c r="AE5" s="485"/>
      <c r="AF5" s="485"/>
      <c r="AG5" s="485"/>
      <c r="AH5" s="485"/>
      <c r="AI5" s="485"/>
      <c r="AJ5" s="485"/>
      <c r="AK5" s="485"/>
      <c r="AL5" s="485"/>
      <c r="AM5" s="485"/>
      <c r="AN5" s="485"/>
      <c r="AO5" s="485"/>
      <c r="AP5" s="485"/>
      <c r="AQ5" s="485"/>
      <c r="AR5" s="485"/>
      <c r="AS5" s="485"/>
      <c r="AT5" s="485"/>
      <c r="AU5" s="485"/>
      <c r="AV5" s="485"/>
      <c r="AW5" s="485"/>
      <c r="AX5" s="485"/>
      <c r="AY5" s="485"/>
      <c r="AZ5" s="485"/>
    </row>
    <row r="6" spans="1:52" s="538" customFormat="1">
      <c r="A6" s="652"/>
      <c r="B6" s="651"/>
      <c r="C6" s="649"/>
      <c r="D6" s="658"/>
      <c r="E6" s="521" t="s">
        <v>350</v>
      </c>
      <c r="F6" s="539" t="s">
        <v>245</v>
      </c>
      <c r="G6" s="536">
        <f>G5+1</f>
        <v>4</v>
      </c>
      <c r="H6" s="521" t="s">
        <v>401</v>
      </c>
      <c r="I6" s="713">
        <v>16270</v>
      </c>
      <c r="J6" s="713">
        <f>(K6/I6)</f>
        <v>27.718770650830095</v>
      </c>
      <c r="K6" s="713">
        <v>450984.39848900563</v>
      </c>
      <c r="L6" s="713">
        <v>152750.26104553489</v>
      </c>
      <c r="M6" s="713">
        <v>113174.47409810098</v>
      </c>
      <c r="N6" s="713">
        <v>59288.076980831276</v>
      </c>
      <c r="O6" s="713">
        <v>50102.572180500378</v>
      </c>
      <c r="P6" s="713">
        <v>75669.014184038126</v>
      </c>
      <c r="Q6" s="713">
        <v>0</v>
      </c>
      <c r="R6" s="713">
        <f>L6+M6+N6+O6+P6+Q6</f>
        <v>450984.39848900563</v>
      </c>
      <c r="S6" s="713">
        <v>0</v>
      </c>
      <c r="T6" s="713">
        <f>R6</f>
        <v>450984.39848900563</v>
      </c>
      <c r="U6" s="713">
        <v>0</v>
      </c>
      <c r="V6" s="713"/>
      <c r="W6" s="704"/>
      <c r="X6" s="704"/>
      <c r="Y6" s="485"/>
      <c r="Z6" s="485"/>
      <c r="AA6" s="485"/>
      <c r="AB6" s="485"/>
      <c r="AC6" s="485"/>
      <c r="AD6" s="485"/>
      <c r="AE6" s="485"/>
      <c r="AF6" s="485"/>
      <c r="AG6" s="485"/>
      <c r="AH6" s="485"/>
      <c r="AI6" s="485"/>
      <c r="AJ6" s="485"/>
      <c r="AK6" s="485"/>
      <c r="AL6" s="485"/>
      <c r="AM6" s="485"/>
      <c r="AN6" s="485"/>
      <c r="AO6" s="485"/>
      <c r="AP6" s="485"/>
      <c r="AQ6" s="485"/>
      <c r="AR6" s="485"/>
      <c r="AS6" s="485"/>
      <c r="AT6" s="485"/>
      <c r="AU6" s="485"/>
      <c r="AV6" s="485"/>
      <c r="AW6" s="485"/>
      <c r="AX6" s="485"/>
      <c r="AY6" s="485"/>
      <c r="AZ6" s="485"/>
    </row>
    <row r="7" spans="1:52">
      <c r="A7" s="652"/>
      <c r="B7" s="651"/>
      <c r="C7" s="648" t="s">
        <v>315</v>
      </c>
      <c r="D7" s="646" t="s">
        <v>205</v>
      </c>
      <c r="E7" s="560" t="s">
        <v>349</v>
      </c>
      <c r="F7" s="525" t="s">
        <v>264</v>
      </c>
      <c r="G7" s="536">
        <f>G6+1</f>
        <v>5</v>
      </c>
      <c r="H7" s="518" t="s">
        <v>401</v>
      </c>
      <c r="I7" s="717">
        <v>8100</v>
      </c>
      <c r="J7" s="717">
        <f>(K7/I7)</f>
        <v>528.84141719759089</v>
      </c>
      <c r="K7" s="717">
        <v>4283615.4793004859</v>
      </c>
      <c r="L7" s="717">
        <v>95281.114142720035</v>
      </c>
      <c r="M7" s="717">
        <v>792252.4222145892</v>
      </c>
      <c r="N7" s="717">
        <v>859558.58294395986</v>
      </c>
      <c r="O7" s="717">
        <v>873873.28593928996</v>
      </c>
      <c r="P7" s="717">
        <v>837773.39665006299</v>
      </c>
      <c r="Q7" s="717">
        <v>824876.67740986426</v>
      </c>
      <c r="R7" s="717">
        <f>L7+M7+N7+O7+P7+Q7</f>
        <v>4283615.4793004859</v>
      </c>
      <c r="S7" s="717">
        <v>0</v>
      </c>
      <c r="T7" s="717"/>
      <c r="U7" s="717">
        <f>(R7)</f>
        <v>4283615.4793004859</v>
      </c>
      <c r="V7" s="717"/>
      <c r="W7" s="704"/>
      <c r="X7" s="704"/>
    </row>
    <row r="8" spans="1:52" s="538" customFormat="1">
      <c r="A8" s="652"/>
      <c r="B8" s="651"/>
      <c r="C8" s="652"/>
      <c r="D8" s="650"/>
      <c r="E8" s="560" t="s">
        <v>349</v>
      </c>
      <c r="F8" s="523" t="s">
        <v>245</v>
      </c>
      <c r="G8" s="536">
        <f>G7+1</f>
        <v>6</v>
      </c>
      <c r="H8" s="518" t="s">
        <v>401</v>
      </c>
      <c r="I8" s="717">
        <v>8100</v>
      </c>
      <c r="J8" s="717">
        <f>(K8/I8)</f>
        <v>93.064680013808726</v>
      </c>
      <c r="K8" s="717">
        <v>753823.90811185073</v>
      </c>
      <c r="L8" s="717">
        <v>16814.314260480001</v>
      </c>
      <c r="M8" s="717">
        <v>139809.25097904514</v>
      </c>
      <c r="N8" s="717">
        <v>154627.98522540502</v>
      </c>
      <c r="O8" s="717">
        <v>157083.52104810998</v>
      </c>
      <c r="P8" s="717">
        <v>139922.364114717</v>
      </c>
      <c r="Q8" s="717">
        <v>145566.47248409368</v>
      </c>
      <c r="R8" s="717">
        <f>L8+M8+N8+O8+P8+Q8</f>
        <v>753823.90811185073</v>
      </c>
      <c r="S8" s="717">
        <v>0</v>
      </c>
      <c r="T8" s="717"/>
      <c r="U8" s="717">
        <f>(R8)</f>
        <v>753823.90811185073</v>
      </c>
      <c r="V8" s="717"/>
      <c r="W8" s="733"/>
      <c r="X8" s="733"/>
      <c r="Y8" s="485"/>
      <c r="Z8" s="485"/>
      <c r="AA8" s="485"/>
      <c r="AB8" s="485"/>
      <c r="AC8" s="485"/>
      <c r="AD8" s="485"/>
      <c r="AE8" s="485"/>
      <c r="AF8" s="485"/>
      <c r="AG8" s="485"/>
      <c r="AH8" s="485"/>
      <c r="AI8" s="485"/>
      <c r="AJ8" s="485"/>
      <c r="AK8" s="485"/>
      <c r="AL8" s="485"/>
      <c r="AM8" s="485"/>
      <c r="AN8" s="485"/>
      <c r="AO8" s="485"/>
      <c r="AP8" s="485"/>
      <c r="AQ8" s="485"/>
      <c r="AR8" s="485"/>
      <c r="AS8" s="485"/>
      <c r="AT8" s="485"/>
      <c r="AU8" s="485"/>
      <c r="AV8" s="485"/>
      <c r="AW8" s="485"/>
      <c r="AX8" s="485"/>
      <c r="AY8" s="485"/>
      <c r="AZ8" s="485"/>
    </row>
    <row r="9" spans="1:52" s="538" customFormat="1">
      <c r="A9" s="652"/>
      <c r="B9" s="651"/>
      <c r="C9" s="652"/>
      <c r="D9" s="650"/>
      <c r="E9" s="560" t="s">
        <v>349</v>
      </c>
      <c r="F9" s="523" t="s">
        <v>245</v>
      </c>
      <c r="G9" s="536">
        <f>G8+1</f>
        <v>7</v>
      </c>
      <c r="H9" s="518" t="s">
        <v>389</v>
      </c>
      <c r="I9" s="717">
        <v>30</v>
      </c>
      <c r="J9" s="717">
        <f>(K9/I9)</f>
        <v>3332.9989634928106</v>
      </c>
      <c r="K9" s="717">
        <v>99989.968904784313</v>
      </c>
      <c r="L9" s="717">
        <v>10818.033072</v>
      </c>
      <c r="M9" s="717">
        <v>21895.698937728001</v>
      </c>
      <c r="N9" s="717">
        <v>22158.447324980749</v>
      </c>
      <c r="O9" s="717">
        <v>22424.3486928805</v>
      </c>
      <c r="P9" s="717">
        <v>22693.440877195051</v>
      </c>
      <c r="Q9" s="717">
        <v>0</v>
      </c>
      <c r="R9" s="717">
        <f>L9+M9+N9+O9+P9+Q9</f>
        <v>99989.968904784313</v>
      </c>
      <c r="S9" s="717">
        <v>0</v>
      </c>
      <c r="T9" s="717"/>
      <c r="U9" s="717">
        <f>(R9)</f>
        <v>99989.968904784313</v>
      </c>
      <c r="V9" s="717"/>
      <c r="W9" s="704"/>
      <c r="X9" s="704"/>
      <c r="Y9" s="485"/>
      <c r="Z9" s="485"/>
      <c r="AA9" s="485"/>
      <c r="AB9" s="485"/>
      <c r="AC9" s="485"/>
      <c r="AD9" s="485"/>
      <c r="AE9" s="485"/>
      <c r="AF9" s="485"/>
      <c r="AG9" s="485"/>
      <c r="AH9" s="485"/>
      <c r="AI9" s="485"/>
      <c r="AJ9" s="485"/>
      <c r="AK9" s="485"/>
      <c r="AL9" s="485"/>
      <c r="AM9" s="485"/>
      <c r="AN9" s="485"/>
      <c r="AO9" s="485"/>
      <c r="AP9" s="485"/>
      <c r="AQ9" s="485"/>
      <c r="AR9" s="485"/>
      <c r="AS9" s="485"/>
      <c r="AT9" s="485"/>
      <c r="AU9" s="485"/>
      <c r="AV9" s="485"/>
      <c r="AW9" s="485"/>
      <c r="AX9" s="485"/>
      <c r="AY9" s="485"/>
      <c r="AZ9" s="485"/>
    </row>
    <row r="10" spans="1:52" s="538" customFormat="1">
      <c r="A10" s="652"/>
      <c r="B10" s="651"/>
      <c r="C10" s="649"/>
      <c r="D10" s="647"/>
      <c r="E10" s="560" t="s">
        <v>349</v>
      </c>
      <c r="F10" s="523" t="s">
        <v>237</v>
      </c>
      <c r="G10" s="536">
        <f>G9+1</f>
        <v>8</v>
      </c>
      <c r="H10" s="518" t="s">
        <v>389</v>
      </c>
      <c r="I10" s="717">
        <v>30</v>
      </c>
      <c r="J10" s="717">
        <f>(K10/I10)</f>
        <v>6685.5048879233809</v>
      </c>
      <c r="K10" s="717">
        <v>200565.14663770143</v>
      </c>
      <c r="L10" s="717">
        <v>30933.068618583427</v>
      </c>
      <c r="M10" s="717">
        <v>42010.734484311426</v>
      </c>
      <c r="N10" s="717">
        <v>42273.482871564127</v>
      </c>
      <c r="O10" s="717">
        <v>42539.384239463929</v>
      </c>
      <c r="P10" s="717">
        <v>42808.476423778528</v>
      </c>
      <c r="Q10" s="717">
        <v>0</v>
      </c>
      <c r="R10" s="717">
        <f>L10+M10+N10+O10+P10+Q10</f>
        <v>200565.14663770143</v>
      </c>
      <c r="S10" s="717">
        <v>0</v>
      </c>
      <c r="T10" s="717"/>
      <c r="U10" s="717">
        <f>(R10)</f>
        <v>200565.14663770143</v>
      </c>
      <c r="V10" s="717"/>
      <c r="W10" s="733"/>
      <c r="X10" s="733"/>
      <c r="Y10" s="485"/>
      <c r="Z10" s="485"/>
      <c r="AA10" s="485"/>
      <c r="AB10" s="485"/>
      <c r="AC10" s="485"/>
      <c r="AD10" s="485"/>
      <c r="AE10" s="485"/>
      <c r="AF10" s="485"/>
      <c r="AG10" s="485"/>
      <c r="AH10" s="485"/>
      <c r="AI10" s="485"/>
      <c r="AJ10" s="485"/>
      <c r="AK10" s="485"/>
      <c r="AL10" s="485"/>
      <c r="AM10" s="485"/>
      <c r="AN10" s="485"/>
      <c r="AO10" s="485"/>
      <c r="AP10" s="485"/>
      <c r="AQ10" s="485"/>
      <c r="AR10" s="485"/>
      <c r="AS10" s="485"/>
      <c r="AT10" s="485"/>
      <c r="AU10" s="485"/>
      <c r="AV10" s="485"/>
      <c r="AW10" s="485"/>
      <c r="AX10" s="485"/>
      <c r="AY10" s="485"/>
      <c r="AZ10" s="485"/>
    </row>
    <row r="11" spans="1:52" s="520" customFormat="1">
      <c r="A11" s="652"/>
      <c r="B11" s="651"/>
      <c r="C11" s="672" t="s">
        <v>309</v>
      </c>
      <c r="D11" s="646" t="s">
        <v>205</v>
      </c>
      <c r="E11" s="560" t="s">
        <v>349</v>
      </c>
      <c r="F11" s="523" t="s">
        <v>237</v>
      </c>
      <c r="G11" s="536">
        <f>G10+1</f>
        <v>9</v>
      </c>
      <c r="H11" s="518" t="s">
        <v>379</v>
      </c>
      <c r="I11" s="717">
        <v>60</v>
      </c>
      <c r="J11" s="717">
        <f>(K11/I11)</f>
        <v>2219.9811877454686</v>
      </c>
      <c r="K11" s="717">
        <v>133198.87126472811</v>
      </c>
      <c r="L11" s="717">
        <v>20440.660866632854</v>
      </c>
      <c r="M11" s="717">
        <v>21548.303818541975</v>
      </c>
      <c r="N11" s="717">
        <v>21605.733108898643</v>
      </c>
      <c r="O11" s="717">
        <v>21663.851550739593</v>
      </c>
      <c r="P11" s="717">
        <v>23927.173099095864</v>
      </c>
      <c r="Q11" s="717">
        <v>24013.148820819184</v>
      </c>
      <c r="R11" s="717">
        <f>L11+M11+N11+O11+P11+Q11</f>
        <v>133198.87126472811</v>
      </c>
      <c r="S11" s="717">
        <v>0</v>
      </c>
      <c r="T11" s="717"/>
      <c r="U11" s="717">
        <f>(R11)</f>
        <v>133198.87126472811</v>
      </c>
      <c r="V11" s="717"/>
      <c r="W11" s="733"/>
      <c r="X11" s="733"/>
      <c r="Y11" s="485"/>
      <c r="Z11" s="485"/>
      <c r="AA11" s="485"/>
      <c r="AB11" s="485"/>
      <c r="AC11" s="485"/>
      <c r="AD11" s="485"/>
      <c r="AE11" s="485"/>
      <c r="AF11" s="485"/>
      <c r="AG11" s="485"/>
      <c r="AH11" s="485"/>
      <c r="AI11" s="485"/>
      <c r="AJ11" s="485"/>
      <c r="AK11" s="485"/>
      <c r="AL11" s="485"/>
      <c r="AM11" s="485"/>
      <c r="AN11" s="485"/>
      <c r="AO11" s="485"/>
      <c r="AP11" s="485"/>
      <c r="AQ11" s="485"/>
      <c r="AR11" s="485"/>
      <c r="AS11" s="485"/>
      <c r="AT11" s="485"/>
      <c r="AU11" s="485"/>
      <c r="AV11" s="485"/>
      <c r="AW11" s="485"/>
      <c r="AX11" s="485"/>
      <c r="AY11" s="485"/>
      <c r="AZ11" s="485"/>
    </row>
    <row r="12" spans="1:52">
      <c r="A12" s="652"/>
      <c r="B12" s="651"/>
      <c r="C12" s="672"/>
      <c r="D12" s="650"/>
      <c r="E12" s="560" t="s">
        <v>349</v>
      </c>
      <c r="F12" s="523" t="s">
        <v>241</v>
      </c>
      <c r="G12" s="536">
        <f>G11+1</f>
        <v>10</v>
      </c>
      <c r="H12" s="518" t="s">
        <v>379</v>
      </c>
      <c r="I12" s="717">
        <v>60</v>
      </c>
      <c r="J12" s="717">
        <f>(K12/I12)</f>
        <v>724.97096737357776</v>
      </c>
      <c r="K12" s="717">
        <v>43498.258042414665</v>
      </c>
      <c r="L12" s="717">
        <v>4904.1749926400016</v>
      </c>
      <c r="M12" s="717">
        <v>6381.0322618521614</v>
      </c>
      <c r="N12" s="717">
        <v>6457.6046489943874</v>
      </c>
      <c r="O12" s="717">
        <v>6535.0959047823198</v>
      </c>
      <c r="P12" s="717">
        <v>9552.8579692573512</v>
      </c>
      <c r="Q12" s="717">
        <v>9667.492264888444</v>
      </c>
      <c r="R12" s="717">
        <f>L12+M12+N12+O12+P12+Q12</f>
        <v>43498.258042414665</v>
      </c>
      <c r="S12" s="717">
        <v>0</v>
      </c>
      <c r="T12" s="717"/>
      <c r="U12" s="717">
        <f>(R12)</f>
        <v>43498.258042414665</v>
      </c>
      <c r="V12" s="717"/>
      <c r="W12" s="704"/>
      <c r="X12" s="704"/>
    </row>
    <row r="13" spans="1:52" s="538" customFormat="1">
      <c r="A13" s="652"/>
      <c r="B13" s="651"/>
      <c r="C13" s="672"/>
      <c r="D13" s="650"/>
      <c r="E13" s="560" t="s">
        <v>349</v>
      </c>
      <c r="F13" s="523" t="s">
        <v>229</v>
      </c>
      <c r="G13" s="536">
        <f>G12+1</f>
        <v>11</v>
      </c>
      <c r="H13" s="518" t="s">
        <v>379</v>
      </c>
      <c r="I13" s="717">
        <v>60</v>
      </c>
      <c r="J13" s="717">
        <f>(K13/I13)</f>
        <v>543.72822553018318</v>
      </c>
      <c r="K13" s="717">
        <v>32623.693531810994</v>
      </c>
      <c r="L13" s="717">
        <v>3678.1312444800001</v>
      </c>
      <c r="M13" s="717">
        <v>4785.7741963891212</v>
      </c>
      <c r="N13" s="717">
        <v>4843.2034867457896</v>
      </c>
      <c r="O13" s="717">
        <v>4901.321928586739</v>
      </c>
      <c r="P13" s="717">
        <v>7164.6434769430134</v>
      </c>
      <c r="Q13" s="717">
        <v>7250.6191986663334</v>
      </c>
      <c r="R13" s="717">
        <f>L13+M13+N13+O13+P13+Q13</f>
        <v>32623.693531810994</v>
      </c>
      <c r="S13" s="717">
        <v>0</v>
      </c>
      <c r="T13" s="717"/>
      <c r="U13" s="717">
        <f>(R13)</f>
        <v>32623.693531810994</v>
      </c>
      <c r="V13" s="717"/>
      <c r="W13" s="704"/>
      <c r="X13" s="704"/>
      <c r="Y13" s="485"/>
      <c r="Z13" s="485"/>
      <c r="AA13" s="485"/>
      <c r="AB13" s="485"/>
      <c r="AC13" s="485"/>
      <c r="AD13" s="485"/>
      <c r="AE13" s="485"/>
      <c r="AF13" s="485"/>
      <c r="AG13" s="485"/>
      <c r="AH13" s="485"/>
      <c r="AI13" s="485"/>
      <c r="AJ13" s="485"/>
      <c r="AK13" s="485"/>
      <c r="AL13" s="485"/>
      <c r="AM13" s="485"/>
      <c r="AN13" s="485"/>
      <c r="AO13" s="485"/>
      <c r="AP13" s="485"/>
      <c r="AQ13" s="485"/>
      <c r="AR13" s="485"/>
      <c r="AS13" s="485"/>
      <c r="AT13" s="485"/>
      <c r="AU13" s="485"/>
      <c r="AV13" s="485"/>
      <c r="AW13" s="485"/>
      <c r="AX13" s="485"/>
      <c r="AY13" s="485"/>
      <c r="AZ13" s="485"/>
    </row>
    <row r="14" spans="1:52" s="520" customFormat="1">
      <c r="A14" s="652"/>
      <c r="B14" s="651"/>
      <c r="C14" s="672" t="s">
        <v>306</v>
      </c>
      <c r="D14" s="646" t="s">
        <v>205</v>
      </c>
      <c r="E14" s="732" t="s">
        <v>349</v>
      </c>
      <c r="F14" s="731" t="s">
        <v>264</v>
      </c>
      <c r="G14" s="730">
        <f>G13+1</f>
        <v>12</v>
      </c>
      <c r="H14" s="730" t="s">
        <v>379</v>
      </c>
      <c r="I14" s="729">
        <v>150</v>
      </c>
      <c r="J14" s="729">
        <f>(K14/I14)</f>
        <v>23070.340196942107</v>
      </c>
      <c r="K14" s="729">
        <v>3460551.029541316</v>
      </c>
      <c r="L14" s="729">
        <v>102462.22752480001</v>
      </c>
      <c r="M14" s="729">
        <v>933225.96829587861</v>
      </c>
      <c r="N14" s="729">
        <v>1469105.0576462231</v>
      </c>
      <c r="O14" s="729">
        <v>955757.77607441426</v>
      </c>
      <c r="P14" s="729">
        <v>0</v>
      </c>
      <c r="Q14" s="729">
        <v>0</v>
      </c>
      <c r="R14" s="729">
        <f>L14+M14+N14+O14+P14+Q14</f>
        <v>3460551.029541316</v>
      </c>
      <c r="S14" s="729">
        <v>0</v>
      </c>
      <c r="T14" s="729"/>
      <c r="U14" s="729">
        <f>(R14)</f>
        <v>3460551.029541316</v>
      </c>
      <c r="V14" s="729"/>
      <c r="W14" s="728"/>
      <c r="X14" s="728"/>
    </row>
    <row r="15" spans="1:52" s="538" customFormat="1">
      <c r="A15" s="652"/>
      <c r="B15" s="671"/>
      <c r="C15" s="672"/>
      <c r="D15" s="647"/>
      <c r="E15" s="560" t="s">
        <v>349</v>
      </c>
      <c r="F15" s="523" t="s">
        <v>245</v>
      </c>
      <c r="G15" s="536">
        <f>G14+1</f>
        <v>13</v>
      </c>
      <c r="H15" s="518" t="s">
        <v>379</v>
      </c>
      <c r="I15" s="717">
        <v>150</v>
      </c>
      <c r="J15" s="717">
        <f>(K15/I15)</f>
        <v>4071.2365053427252</v>
      </c>
      <c r="K15" s="717">
        <v>610685.47580140876</v>
      </c>
      <c r="L15" s="717">
        <v>18081.569563200002</v>
      </c>
      <c r="M15" s="717">
        <v>164686.93558162564</v>
      </c>
      <c r="N15" s="717">
        <v>259253.83370227469</v>
      </c>
      <c r="O15" s="717">
        <v>168663.13695430837</v>
      </c>
      <c r="P15" s="717">
        <v>0</v>
      </c>
      <c r="Q15" s="717">
        <v>0</v>
      </c>
      <c r="R15" s="717">
        <f>L15+M15+N15+O15+P15+Q15</f>
        <v>610685.47580140876</v>
      </c>
      <c r="S15" s="717">
        <v>0</v>
      </c>
      <c r="T15" s="717"/>
      <c r="U15" s="717">
        <f>(R15)</f>
        <v>610685.47580140876</v>
      </c>
      <c r="V15" s="717"/>
      <c r="W15" s="706" t="s">
        <v>368</v>
      </c>
      <c r="X15" s="706" t="s">
        <v>367</v>
      </c>
      <c r="Y15" s="485"/>
      <c r="Z15" s="485"/>
      <c r="AA15" s="485"/>
      <c r="AB15" s="485"/>
      <c r="AC15" s="485"/>
      <c r="AD15" s="485"/>
      <c r="AE15" s="485"/>
      <c r="AF15" s="485"/>
      <c r="AG15" s="485"/>
      <c r="AH15" s="485"/>
      <c r="AI15" s="485"/>
      <c r="AJ15" s="485"/>
      <c r="AK15" s="485"/>
      <c r="AL15" s="485"/>
      <c r="AM15" s="485"/>
      <c r="AN15" s="485"/>
      <c r="AO15" s="485"/>
      <c r="AP15" s="485"/>
      <c r="AQ15" s="485"/>
      <c r="AR15" s="485"/>
      <c r="AS15" s="485"/>
      <c r="AT15" s="485"/>
      <c r="AU15" s="485"/>
      <c r="AV15" s="485"/>
      <c r="AW15" s="485"/>
      <c r="AX15" s="485"/>
      <c r="AY15" s="485"/>
      <c r="AZ15" s="485"/>
    </row>
    <row r="16" spans="1:52" s="530" customFormat="1">
      <c r="A16" s="652"/>
      <c r="B16" s="659" t="s">
        <v>400</v>
      </c>
      <c r="C16" s="654"/>
      <c r="D16" s="534"/>
      <c r="E16" s="542"/>
      <c r="F16" s="546"/>
      <c r="G16" s="543"/>
      <c r="H16" s="543"/>
      <c r="I16" s="721"/>
      <c r="J16" s="721"/>
      <c r="K16" s="721">
        <f>SUM(K2:K15)</f>
        <v>31070594.282635465</v>
      </c>
      <c r="L16" s="721">
        <f>SUM(L2:L15)</f>
        <v>2728867.5807934757</v>
      </c>
      <c r="M16" s="721">
        <f>SUM(M2:M15)</f>
        <v>8005231.0675972309</v>
      </c>
      <c r="N16" s="721">
        <f>SUM(N2:N15)</f>
        <v>8166601.4758729422</v>
      </c>
      <c r="O16" s="721">
        <f>SUM(O2:O15)</f>
        <v>6530153.5885844743</v>
      </c>
      <c r="P16" s="721">
        <f>SUM(P2:P15)</f>
        <v>4598366.1596090104</v>
      </c>
      <c r="Q16" s="721">
        <f>SUM(Q2:Q15)</f>
        <v>1041374.4101783319</v>
      </c>
      <c r="R16" s="721">
        <f>L16+M16+N16+O16+P16+Q16</f>
        <v>31070594.282635465</v>
      </c>
      <c r="S16" s="721">
        <f>SUM(S2:S15)</f>
        <v>12747705.377349295</v>
      </c>
      <c r="T16" s="721">
        <f>SUM(T2:T15)</f>
        <v>6272580.0332600381</v>
      </c>
      <c r="U16" s="721">
        <f>SUM(U2:U15)</f>
        <v>12050308.872026131</v>
      </c>
      <c r="V16" s="721"/>
      <c r="W16" s="704">
        <f>S16+U16</f>
        <v>24798014.249375425</v>
      </c>
      <c r="X16" s="704">
        <f>T16+V16</f>
        <v>6272580.0332600381</v>
      </c>
      <c r="Y16" s="485"/>
    </row>
    <row r="17" spans="1:25" ht="45">
      <c r="A17" s="652"/>
      <c r="B17" s="648" t="s">
        <v>304</v>
      </c>
      <c r="C17" s="556" t="s">
        <v>303</v>
      </c>
      <c r="D17" s="519" t="s">
        <v>205</v>
      </c>
      <c r="E17" s="560" t="s">
        <v>349</v>
      </c>
      <c r="F17" s="523" t="s">
        <v>228</v>
      </c>
      <c r="G17" s="536">
        <f>G15+1</f>
        <v>14</v>
      </c>
      <c r="H17" s="518" t="s">
        <v>399</v>
      </c>
      <c r="I17" s="717">
        <v>6</v>
      </c>
      <c r="J17" s="717">
        <f>(K17/I17)</f>
        <v>30000</v>
      </c>
      <c r="K17" s="717">
        <v>180000</v>
      </c>
      <c r="L17" s="717">
        <v>180000</v>
      </c>
      <c r="M17" s="717">
        <v>0</v>
      </c>
      <c r="N17" s="717">
        <v>0</v>
      </c>
      <c r="O17" s="717">
        <v>0</v>
      </c>
      <c r="P17" s="717">
        <v>0</v>
      </c>
      <c r="Q17" s="717">
        <v>0</v>
      </c>
      <c r="R17" s="717">
        <f>L17+M17+N17+O17+P17+Q17</f>
        <v>180000</v>
      </c>
      <c r="S17" s="717">
        <v>0</v>
      </c>
      <c r="T17" s="717"/>
      <c r="U17" s="717">
        <f>(R17)</f>
        <v>180000</v>
      </c>
      <c r="V17" s="717"/>
      <c r="W17" s="704"/>
      <c r="X17" s="704"/>
    </row>
    <row r="18" spans="1:25" ht="30" customHeight="1">
      <c r="A18" s="652"/>
      <c r="B18" s="652"/>
      <c r="C18" s="556" t="s">
        <v>301</v>
      </c>
      <c r="D18" s="519" t="s">
        <v>205</v>
      </c>
      <c r="E18" s="518" t="s">
        <v>349</v>
      </c>
      <c r="F18" s="523" t="s">
        <v>237</v>
      </c>
      <c r="G18" s="536">
        <v>15</v>
      </c>
      <c r="H18" s="523" t="s">
        <v>375</v>
      </c>
      <c r="I18" s="717">
        <v>5</v>
      </c>
      <c r="J18" s="717">
        <f>(K18/I18)</f>
        <v>88000</v>
      </c>
      <c r="K18" s="717">
        <v>440000</v>
      </c>
      <c r="L18" s="717">
        <v>0</v>
      </c>
      <c r="M18" s="717">
        <v>88000</v>
      </c>
      <c r="N18" s="717">
        <v>88000</v>
      </c>
      <c r="O18" s="717">
        <v>88000</v>
      </c>
      <c r="P18" s="717">
        <v>88000</v>
      </c>
      <c r="Q18" s="717">
        <v>88000</v>
      </c>
      <c r="R18" s="717">
        <f>L18+M18+N18+O18+P18+Q18</f>
        <v>440000</v>
      </c>
      <c r="S18" s="717">
        <v>0</v>
      </c>
      <c r="T18" s="717"/>
      <c r="U18" s="717">
        <f>(R18)</f>
        <v>440000</v>
      </c>
      <c r="V18" s="717"/>
      <c r="W18" s="706"/>
      <c r="X18" s="706"/>
    </row>
    <row r="19" spans="1:25">
      <c r="A19" s="652"/>
      <c r="B19" s="652"/>
      <c r="C19" s="652" t="s">
        <v>430</v>
      </c>
      <c r="D19" s="646" t="s">
        <v>205</v>
      </c>
      <c r="E19" s="560" t="s">
        <v>349</v>
      </c>
      <c r="F19" s="523" t="s">
        <v>245</v>
      </c>
      <c r="G19" s="536">
        <v>16</v>
      </c>
      <c r="H19" s="523" t="s">
        <v>375</v>
      </c>
      <c r="I19" s="717">
        <v>5</v>
      </c>
      <c r="J19" s="717">
        <f>(K19/I19)</f>
        <v>132115</v>
      </c>
      <c r="K19" s="717">
        <v>660575</v>
      </c>
      <c r="L19" s="717">
        <v>0</v>
      </c>
      <c r="M19" s="717">
        <v>132115</v>
      </c>
      <c r="N19" s="717">
        <v>132115</v>
      </c>
      <c r="O19" s="717">
        <v>132115</v>
      </c>
      <c r="P19" s="717">
        <v>132115</v>
      </c>
      <c r="Q19" s="717">
        <v>132115</v>
      </c>
      <c r="R19" s="717">
        <f>L19+M19+N19+O19+P19+Q19</f>
        <v>660575</v>
      </c>
      <c r="S19" s="717"/>
      <c r="T19" s="717"/>
      <c r="U19" s="717">
        <f>(R19)</f>
        <v>660575</v>
      </c>
      <c r="V19" s="717"/>
      <c r="W19" s="706"/>
      <c r="X19" s="706"/>
    </row>
    <row r="20" spans="1:25" ht="30">
      <c r="A20" s="652"/>
      <c r="B20" s="652"/>
      <c r="C20" s="652"/>
      <c r="D20" s="650"/>
      <c r="E20" s="560" t="s">
        <v>349</v>
      </c>
      <c r="F20" s="525" t="s">
        <v>290</v>
      </c>
      <c r="G20" s="536">
        <v>17</v>
      </c>
      <c r="H20" s="560" t="s">
        <v>397</v>
      </c>
      <c r="I20" s="719">
        <v>11</v>
      </c>
      <c r="J20" s="717">
        <f>(K20/I20)</f>
        <v>20018.18181818182</v>
      </c>
      <c r="K20" s="717">
        <v>220200</v>
      </c>
      <c r="L20" s="717">
        <v>20000</v>
      </c>
      <c r="M20" s="717">
        <v>50000</v>
      </c>
      <c r="N20" s="717">
        <v>50000</v>
      </c>
      <c r="O20" s="717">
        <v>50000</v>
      </c>
      <c r="P20" s="717">
        <v>50200</v>
      </c>
      <c r="Q20" s="717">
        <v>0</v>
      </c>
      <c r="R20" s="717">
        <f>L20+M20+N20+O20+P20+Q20</f>
        <v>220200</v>
      </c>
      <c r="S20" s="717">
        <v>0</v>
      </c>
      <c r="T20" s="717"/>
      <c r="U20" s="717">
        <f>(R20)</f>
        <v>220200</v>
      </c>
      <c r="V20" s="717"/>
      <c r="W20" s="706"/>
      <c r="X20" s="706"/>
    </row>
    <row r="21" spans="1:25">
      <c r="A21" s="652"/>
      <c r="B21" s="652"/>
      <c r="C21" s="652"/>
      <c r="D21" s="650"/>
      <c r="E21" s="560" t="s">
        <v>350</v>
      </c>
      <c r="F21" s="525" t="s">
        <v>288</v>
      </c>
      <c r="G21" s="536">
        <f>G20+1</f>
        <v>18</v>
      </c>
      <c r="H21" s="560" t="s">
        <v>375</v>
      </c>
      <c r="I21" s="719">
        <v>1</v>
      </c>
      <c r="J21" s="717">
        <f>(K21/I21)</f>
        <v>68000</v>
      </c>
      <c r="K21" s="717">
        <v>68000</v>
      </c>
      <c r="L21" s="717">
        <v>68000</v>
      </c>
      <c r="M21" s="717">
        <v>0</v>
      </c>
      <c r="N21" s="717">
        <v>0</v>
      </c>
      <c r="O21" s="717">
        <v>0</v>
      </c>
      <c r="P21" s="717">
        <v>0</v>
      </c>
      <c r="Q21" s="717">
        <v>0</v>
      </c>
      <c r="R21" s="717">
        <f>L21+M21+N21+O21+P21+Q21</f>
        <v>68000</v>
      </c>
      <c r="S21" s="717">
        <f>R21</f>
        <v>68000</v>
      </c>
      <c r="T21" s="717"/>
      <c r="U21" s="717"/>
      <c r="V21" s="717"/>
      <c r="W21" s="706"/>
      <c r="X21" s="706"/>
    </row>
    <row r="22" spans="1:25" ht="30">
      <c r="A22" s="652"/>
      <c r="B22" s="652"/>
      <c r="C22" s="652"/>
      <c r="D22" s="650"/>
      <c r="E22" s="560" t="s">
        <v>349</v>
      </c>
      <c r="F22" s="525" t="s">
        <v>287</v>
      </c>
      <c r="G22" s="536">
        <f>G21+1</f>
        <v>19</v>
      </c>
      <c r="H22" s="560" t="s">
        <v>375</v>
      </c>
      <c r="I22" s="719">
        <v>1</v>
      </c>
      <c r="J22" s="717">
        <f>(K22/I22)</f>
        <v>12000</v>
      </c>
      <c r="K22" s="717">
        <v>12000</v>
      </c>
      <c r="L22" s="717">
        <v>12000</v>
      </c>
      <c r="M22" s="717">
        <v>0</v>
      </c>
      <c r="N22" s="717">
        <v>0</v>
      </c>
      <c r="O22" s="717">
        <v>0</v>
      </c>
      <c r="P22" s="717">
        <v>0</v>
      </c>
      <c r="Q22" s="717">
        <v>0</v>
      </c>
      <c r="R22" s="717">
        <f>L22+M22+N22+O22+P22+Q22</f>
        <v>12000</v>
      </c>
      <c r="S22" s="717">
        <v>0</v>
      </c>
      <c r="T22" s="717"/>
      <c r="U22" s="717">
        <f>(R22)</f>
        <v>12000</v>
      </c>
      <c r="V22" s="717"/>
      <c r="W22" s="706"/>
      <c r="X22" s="706"/>
    </row>
    <row r="23" spans="1:25" ht="30">
      <c r="A23" s="652"/>
      <c r="B23" s="652"/>
      <c r="C23" s="652"/>
      <c r="D23" s="650"/>
      <c r="E23" s="560" t="s">
        <v>349</v>
      </c>
      <c r="F23" s="525" t="s">
        <v>396</v>
      </c>
      <c r="G23" s="536">
        <f>G22+1</f>
        <v>20</v>
      </c>
      <c r="H23" s="560" t="s">
        <v>375</v>
      </c>
      <c r="I23" s="719">
        <v>1</v>
      </c>
      <c r="J23" s="717">
        <f>(K23/I23)</f>
        <v>182380</v>
      </c>
      <c r="K23" s="717">
        <v>182380</v>
      </c>
      <c r="L23" s="717">
        <f>K23*30/100</f>
        <v>54714</v>
      </c>
      <c r="M23" s="717">
        <v>0</v>
      </c>
      <c r="N23" s="717">
        <v>0</v>
      </c>
      <c r="O23" s="717">
        <v>0</v>
      </c>
      <c r="P23" s="717">
        <v>0</v>
      </c>
      <c r="Q23" s="717">
        <f>K23-L23</f>
        <v>127666</v>
      </c>
      <c r="R23" s="717">
        <f>L23+M23+N23+O23+P23+Q23</f>
        <v>182380</v>
      </c>
      <c r="S23" s="717"/>
      <c r="T23" s="717"/>
      <c r="U23" s="717">
        <f>(R23)</f>
        <v>182380</v>
      </c>
      <c r="V23" s="717"/>
      <c r="W23" s="706"/>
      <c r="X23" s="706"/>
    </row>
    <row r="24" spans="1:25">
      <c r="A24" s="652"/>
      <c r="B24" s="652"/>
      <c r="C24" s="652"/>
      <c r="D24" s="650"/>
      <c r="E24" s="560" t="s">
        <v>349</v>
      </c>
      <c r="F24" s="525" t="s">
        <v>298</v>
      </c>
      <c r="G24" s="536">
        <f>G23+1</f>
        <v>21</v>
      </c>
      <c r="H24" s="560" t="s">
        <v>398</v>
      </c>
      <c r="I24" s="719">
        <v>45000</v>
      </c>
      <c r="J24" s="717">
        <f>(K24/I24)</f>
        <v>25.850192463080017</v>
      </c>
      <c r="K24" s="717">
        <v>1163258.6608386007</v>
      </c>
      <c r="L24" s="717">
        <v>344824.80417000013</v>
      </c>
      <c r="M24" s="717">
        <v>465283.60242672003</v>
      </c>
      <c r="N24" s="717">
        <v>353150.2542418805</v>
      </c>
      <c r="O24" s="717">
        <v>0</v>
      </c>
      <c r="P24" s="717">
        <v>0</v>
      </c>
      <c r="Q24" s="717">
        <v>0</v>
      </c>
      <c r="R24" s="717">
        <f>L24+M24+N24+O24+P24+Q24</f>
        <v>1163258.6608386007</v>
      </c>
      <c r="S24" s="717">
        <v>0</v>
      </c>
      <c r="T24" s="717"/>
      <c r="U24" s="717">
        <f>(R24)</f>
        <v>1163258.6608386007</v>
      </c>
      <c r="V24" s="717"/>
      <c r="W24" s="706"/>
      <c r="X24" s="706"/>
    </row>
    <row r="25" spans="1:25">
      <c r="A25" s="652"/>
      <c r="B25" s="652"/>
      <c r="C25" s="652"/>
      <c r="D25" s="650"/>
      <c r="E25" s="560" t="s">
        <v>349</v>
      </c>
      <c r="F25" s="525" t="s">
        <v>295</v>
      </c>
      <c r="G25" s="536">
        <f>G24+1</f>
        <v>22</v>
      </c>
      <c r="H25" s="560" t="s">
        <v>398</v>
      </c>
      <c r="I25" s="719">
        <v>45000</v>
      </c>
      <c r="J25" s="717">
        <f>(K25/I25)</f>
        <v>120.36120154715894</v>
      </c>
      <c r="K25" s="717">
        <v>5416254.0696221525</v>
      </c>
      <c r="L25" s="717">
        <v>406505.06962215283</v>
      </c>
      <c r="M25" s="717">
        <v>1001949.8</v>
      </c>
      <c r="N25" s="717">
        <v>1001949.8</v>
      </c>
      <c r="O25" s="717">
        <v>1001949.8</v>
      </c>
      <c r="P25" s="717">
        <v>1001949.8</v>
      </c>
      <c r="Q25" s="717">
        <v>1001949.8</v>
      </c>
      <c r="R25" s="717">
        <f>L25+M25+N25+O25+P25+Q25</f>
        <v>5416254.0696221525</v>
      </c>
      <c r="S25" s="717">
        <v>0</v>
      </c>
      <c r="T25" s="717"/>
      <c r="U25" s="717">
        <f>(R25)</f>
        <v>5416254.0696221525</v>
      </c>
      <c r="V25" s="717"/>
      <c r="W25" s="706"/>
      <c r="X25" s="706"/>
    </row>
    <row r="26" spans="1:25">
      <c r="A26" s="652"/>
      <c r="B26" s="652"/>
      <c r="C26" s="652"/>
      <c r="D26" s="647"/>
      <c r="E26" s="560" t="s">
        <v>349</v>
      </c>
      <c r="F26" s="525" t="s">
        <v>293</v>
      </c>
      <c r="G26" s="536">
        <f>G25+1</f>
        <v>23</v>
      </c>
      <c r="H26" s="560" t="s">
        <v>398</v>
      </c>
      <c r="I26" s="719">
        <v>45000</v>
      </c>
      <c r="J26" s="717">
        <v>214.55642222222221</v>
      </c>
      <c r="K26" s="717">
        <v>9655039</v>
      </c>
      <c r="L26" s="717">
        <f>721974.7848204-30000</f>
        <v>691974.78482039995</v>
      </c>
      <c r="M26" s="717">
        <f>1821380.16877825-30000</f>
        <v>1791380.16877825</v>
      </c>
      <c r="N26" s="717">
        <f>1931257.3033389-30000</f>
        <v>1901257.3033389</v>
      </c>
      <c r="O26" s="717">
        <f>1794103.86583024-30000</f>
        <v>1764103.8658302401</v>
      </c>
      <c r="P26" s="717">
        <f>1795660.7563252-30000</f>
        <v>1765660.7563252</v>
      </c>
      <c r="Q26" s="717">
        <f>1770661.66185488-30000+0.459052130579948</f>
        <v>1740662.1209070105</v>
      </c>
      <c r="R26" s="717">
        <f>L26+M26+N26+O26+P26+Q26</f>
        <v>9655039</v>
      </c>
      <c r="S26" s="717">
        <v>0</v>
      </c>
      <c r="T26" s="717"/>
      <c r="U26" s="717">
        <f>(R26)</f>
        <v>9655039</v>
      </c>
      <c r="V26" s="717"/>
      <c r="W26" s="727"/>
      <c r="X26" s="706"/>
    </row>
    <row r="27" spans="1:25" ht="35.25" customHeight="1">
      <c r="A27" s="652"/>
      <c r="B27" s="652"/>
      <c r="C27" s="652"/>
      <c r="D27" s="726" t="s">
        <v>373</v>
      </c>
      <c r="E27" s="521" t="s">
        <v>350</v>
      </c>
      <c r="F27" s="539" t="s">
        <v>283</v>
      </c>
      <c r="G27" s="536">
        <f>G26+1</f>
        <v>24</v>
      </c>
      <c r="H27" s="521" t="s">
        <v>388</v>
      </c>
      <c r="I27" s="713">
        <v>260000</v>
      </c>
      <c r="J27" s="713">
        <f>(K27/I27)</f>
        <v>168.76121611230241</v>
      </c>
      <c r="K27" s="713">
        <v>43877916.189198628</v>
      </c>
      <c r="L27" s="713">
        <v>7267099.310039754</v>
      </c>
      <c r="M27" s="713">
        <v>7475320.0706516802</v>
      </c>
      <c r="N27" s="713">
        <v>7453778.0592860617</v>
      </c>
      <c r="O27" s="713">
        <v>7269748.1781272963</v>
      </c>
      <c r="P27" s="713">
        <v>7238044.4177273503</v>
      </c>
      <c r="Q27" s="713">
        <v>7173926.1533664837</v>
      </c>
      <c r="R27" s="713">
        <f>L27+M27+N27+O27+P27+Q27</f>
        <v>43877916.189198628</v>
      </c>
      <c r="S27" s="713">
        <v>0</v>
      </c>
      <c r="T27" s="713">
        <f>R27</f>
        <v>43877916.189198628</v>
      </c>
      <c r="U27" s="713"/>
      <c r="V27" s="713"/>
      <c r="W27" s="706"/>
      <c r="X27" s="706"/>
    </row>
    <row r="28" spans="1:25" ht="30">
      <c r="A28" s="652"/>
      <c r="B28" s="652"/>
      <c r="C28" s="649"/>
      <c r="D28" s="725"/>
      <c r="E28" s="521" t="s">
        <v>349</v>
      </c>
      <c r="F28" s="539" t="s">
        <v>280</v>
      </c>
      <c r="G28" s="536">
        <f>G27+1</f>
        <v>25</v>
      </c>
      <c r="H28" s="521" t="s">
        <v>388</v>
      </c>
      <c r="I28" s="713">
        <v>260000</v>
      </c>
      <c r="J28" s="713">
        <f>(K28/I28)</f>
        <v>47.077495068793667</v>
      </c>
      <c r="K28" s="713">
        <v>12240148.717886353</v>
      </c>
      <c r="L28" s="713">
        <v>2124888.4844095828</v>
      </c>
      <c r="M28" s="713">
        <v>2163248.8335098564</v>
      </c>
      <c r="N28" s="713">
        <v>2159280.1654775296</v>
      </c>
      <c r="O28" s="713">
        <v>2125376.4833212197</v>
      </c>
      <c r="P28" s="713">
        <v>2119535.7241521571</v>
      </c>
      <c r="Q28" s="713">
        <v>1547819.0270160057</v>
      </c>
      <c r="R28" s="713">
        <f>L28+M28+N28+O28+P28+Q28</f>
        <v>12240148.717886351</v>
      </c>
      <c r="S28" s="713">
        <v>0</v>
      </c>
      <c r="T28" s="713"/>
      <c r="U28" s="713"/>
      <c r="V28" s="713">
        <f>R28</f>
        <v>12240148.717886351</v>
      </c>
      <c r="W28" s="706"/>
      <c r="X28" s="706"/>
    </row>
    <row r="29" spans="1:25" ht="30">
      <c r="A29" s="652"/>
      <c r="B29" s="652"/>
      <c r="C29" s="648" t="s">
        <v>292</v>
      </c>
      <c r="D29" s="646" t="s">
        <v>205</v>
      </c>
      <c r="E29" s="560" t="s">
        <v>349</v>
      </c>
      <c r="F29" s="525" t="s">
        <v>228</v>
      </c>
      <c r="G29" s="536">
        <f>G28+1</f>
        <v>26</v>
      </c>
      <c r="H29" s="560" t="s">
        <v>388</v>
      </c>
      <c r="I29" s="719">
        <v>2500</v>
      </c>
      <c r="J29" s="717">
        <f>(K29/I29)</f>
        <v>348.39342285858777</v>
      </c>
      <c r="K29" s="717">
        <v>870983.55714646936</v>
      </c>
      <c r="L29" s="717">
        <v>0</v>
      </c>
      <c r="M29" s="717">
        <v>170397.84955519997</v>
      </c>
      <c r="N29" s="717">
        <v>172274.6237498624</v>
      </c>
      <c r="O29" s="717">
        <v>174173.91923486078</v>
      </c>
      <c r="P29" s="717">
        <v>176096.00626567905</v>
      </c>
      <c r="Q29" s="717">
        <v>178041.1583408672</v>
      </c>
      <c r="R29" s="717">
        <f>L29+M29+N29+O29+P29+Q29</f>
        <v>870983.55714646936</v>
      </c>
      <c r="S29" s="717">
        <v>0</v>
      </c>
      <c r="T29" s="717"/>
      <c r="U29" s="717">
        <f>(R29)</f>
        <v>870983.55714646936</v>
      </c>
      <c r="V29" s="717"/>
      <c r="W29" s="706"/>
      <c r="X29" s="706"/>
    </row>
    <row r="30" spans="1:25" ht="30">
      <c r="A30" s="652"/>
      <c r="B30" s="652"/>
      <c r="C30" s="652"/>
      <c r="D30" s="650"/>
      <c r="E30" s="560" t="s">
        <v>349</v>
      </c>
      <c r="F30" s="525" t="s">
        <v>245</v>
      </c>
      <c r="G30" s="536">
        <f>G29+1</f>
        <v>27</v>
      </c>
      <c r="H30" s="560" t="s">
        <v>388</v>
      </c>
      <c r="I30" s="719">
        <v>2500</v>
      </c>
      <c r="J30" s="717">
        <f>(K30/I30)</f>
        <v>233.60761523905853</v>
      </c>
      <c r="K30" s="717">
        <v>584019.03809764632</v>
      </c>
      <c r="L30" s="717">
        <v>0</v>
      </c>
      <c r="M30" s="717">
        <v>114265.2330368</v>
      </c>
      <c r="N30" s="717">
        <v>115516.41583324161</v>
      </c>
      <c r="O30" s="717">
        <v>116782.61282324055</v>
      </c>
      <c r="P30" s="717">
        <v>118064.00417711938</v>
      </c>
      <c r="Q30" s="717">
        <v>119390.77222724483</v>
      </c>
      <c r="R30" s="717">
        <f>L30+M30+N30+O30+P30+Q30</f>
        <v>584019.03809764632</v>
      </c>
      <c r="S30" s="717">
        <v>0</v>
      </c>
      <c r="T30" s="717"/>
      <c r="U30" s="717">
        <f>(R30)</f>
        <v>584019.03809764632</v>
      </c>
      <c r="V30" s="717"/>
      <c r="W30" s="706" t="s">
        <v>368</v>
      </c>
      <c r="X30" s="706" t="s">
        <v>367</v>
      </c>
    </row>
    <row r="31" spans="1:25" s="530" customFormat="1" ht="15.75" thickBot="1">
      <c r="A31" s="649"/>
      <c r="B31" s="653" t="s">
        <v>395</v>
      </c>
      <c r="C31" s="654"/>
      <c r="D31" s="545"/>
      <c r="E31" s="542"/>
      <c r="F31" s="544"/>
      <c r="G31" s="543"/>
      <c r="H31" s="542"/>
      <c r="I31" s="723"/>
      <c r="J31" s="724"/>
      <c r="K31" s="723">
        <f>SUM(K17:K30)</f>
        <v>75570774.232789859</v>
      </c>
      <c r="L31" s="723">
        <f>SUM(L17:L30)</f>
        <v>11170006.45306189</v>
      </c>
      <c r="M31" s="723">
        <f>SUM(M17:M30)</f>
        <v>13451960.557958506</v>
      </c>
      <c r="N31" s="723">
        <f>SUM(N17:N30)</f>
        <v>13427321.621927476</v>
      </c>
      <c r="O31" s="723">
        <f>SUM(O17:O30)</f>
        <v>12722249.859336857</v>
      </c>
      <c r="P31" s="723">
        <f>SUM(P17:P30)</f>
        <v>12689665.708647506</v>
      </c>
      <c r="Q31" s="723">
        <f>SUM(Q17:Q30)</f>
        <v>12109570.031857612</v>
      </c>
      <c r="R31" s="723">
        <f>L31+M31+N31+O31+P31+Q31</f>
        <v>75570774.232789844</v>
      </c>
      <c r="S31" s="723">
        <f>SUM(S17:S30)</f>
        <v>68000</v>
      </c>
      <c r="T31" s="723">
        <f>SUM(T17:T30)</f>
        <v>43877916.189198628</v>
      </c>
      <c r="U31" s="723">
        <f>SUM(U17:U30)</f>
        <v>19384709.325704873</v>
      </c>
      <c r="V31" s="723">
        <f>SUM(V17:V30)</f>
        <v>12240148.717886351</v>
      </c>
      <c r="W31" s="704">
        <f>S31+U31</f>
        <v>19452709.325704873</v>
      </c>
      <c r="X31" s="704">
        <f>T31+V31</f>
        <v>56118064.907084979</v>
      </c>
      <c r="Y31" s="485"/>
    </row>
    <row r="32" spans="1:25" s="530" customFormat="1" ht="15.75" thickBot="1">
      <c r="A32" s="660" t="s">
        <v>394</v>
      </c>
      <c r="B32" s="661"/>
      <c r="C32" s="662"/>
      <c r="D32" s="529"/>
      <c r="E32" s="529"/>
      <c r="F32" s="528"/>
      <c r="G32" s="528"/>
      <c r="H32" s="527"/>
      <c r="I32" s="715"/>
      <c r="J32" s="527"/>
      <c r="K32" s="715">
        <f>K31+K16</f>
        <v>106641368.51542532</v>
      </c>
      <c r="L32" s="715">
        <f>L31+L16</f>
        <v>13898874.033855366</v>
      </c>
      <c r="M32" s="715">
        <f>M31+M16</f>
        <v>21457191.625555739</v>
      </c>
      <c r="N32" s="715">
        <f>N31+N16</f>
        <v>21593923.097800419</v>
      </c>
      <c r="O32" s="715">
        <f>O31+O16</f>
        <v>19252403.447921332</v>
      </c>
      <c r="P32" s="715">
        <f>P31+P16</f>
        <v>17288031.868256517</v>
      </c>
      <c r="Q32" s="715">
        <f>Q31+Q16</f>
        <v>13150944.442035943</v>
      </c>
      <c r="R32" s="715">
        <f>L32+M32+N32+O32+P32+Q32</f>
        <v>106641368.51542532</v>
      </c>
      <c r="S32" s="715">
        <f>S31+S16</f>
        <v>12815705.377349295</v>
      </c>
      <c r="T32" s="715">
        <f>T31+T16</f>
        <v>50150496.222458668</v>
      </c>
      <c r="U32" s="715">
        <f>U31+U16</f>
        <v>31435018.197731003</v>
      </c>
      <c r="V32" s="715">
        <f>V31+V16</f>
        <v>12240148.717886351</v>
      </c>
      <c r="W32" s="704">
        <f>S32+U32</f>
        <v>44250723.575080298</v>
      </c>
      <c r="X32" s="704">
        <f>T32+V32</f>
        <v>62390644.940345019</v>
      </c>
      <c r="Y32" s="485"/>
    </row>
    <row r="33" spans="1:52" ht="15" customHeight="1">
      <c r="A33" s="648" t="s">
        <v>277</v>
      </c>
      <c r="B33" s="648" t="s">
        <v>276</v>
      </c>
      <c r="C33" s="648" t="s">
        <v>275</v>
      </c>
      <c r="D33" s="657" t="s">
        <v>205</v>
      </c>
      <c r="E33" s="518" t="s">
        <v>349</v>
      </c>
      <c r="F33" s="525" t="s">
        <v>273</v>
      </c>
      <c r="G33" s="516">
        <v>28</v>
      </c>
      <c r="H33" s="560" t="s">
        <v>44</v>
      </c>
      <c r="I33" s="719">
        <v>540</v>
      </c>
      <c r="J33" s="719">
        <f>(K33/I33)</f>
        <v>5341.9836171083698</v>
      </c>
      <c r="K33" s="719">
        <v>2884671.1532385196</v>
      </c>
      <c r="L33" s="719">
        <v>178275.83974877899</v>
      </c>
      <c r="M33" s="719">
        <v>519093.76947729196</v>
      </c>
      <c r="N33" s="719">
        <v>525192.33471101965</v>
      </c>
      <c r="O33" s="719">
        <v>695484.08272755169</v>
      </c>
      <c r="P33" s="719">
        <v>613941.57643356861</v>
      </c>
      <c r="Q33" s="719">
        <v>352683.55014030862</v>
      </c>
      <c r="R33" s="719">
        <f>L33+M33+N33+O33+P33+Q33</f>
        <v>2884671.1532385196</v>
      </c>
      <c r="S33" s="719">
        <v>0</v>
      </c>
      <c r="T33" s="719"/>
      <c r="U33" s="719">
        <f>R33</f>
        <v>2884671.1532385196</v>
      </c>
      <c r="V33" s="719"/>
      <c r="W33" s="704"/>
      <c r="X33" s="704"/>
    </row>
    <row r="34" spans="1:52" s="538" customFormat="1">
      <c r="A34" s="652"/>
      <c r="B34" s="652"/>
      <c r="C34" s="652"/>
      <c r="D34" s="650"/>
      <c r="E34" s="518" t="s">
        <v>349</v>
      </c>
      <c r="F34" s="523" t="s">
        <v>229</v>
      </c>
      <c r="G34" s="516">
        <v>29</v>
      </c>
      <c r="H34" s="518" t="s">
        <v>44</v>
      </c>
      <c r="I34" s="719">
        <v>540</v>
      </c>
      <c r="J34" s="719">
        <f>(K34/I34)</f>
        <v>942.46769713677099</v>
      </c>
      <c r="K34" s="719">
        <v>508932.55645385635</v>
      </c>
      <c r="L34" s="719">
        <v>31460.44230860801</v>
      </c>
      <c r="M34" s="719">
        <v>91604.782848933886</v>
      </c>
      <c r="N34" s="719">
        <v>92681.000243121118</v>
      </c>
      <c r="O34" s="719">
        <v>121850.13224603854</v>
      </c>
      <c r="P34" s="719">
        <v>108460.27819415915</v>
      </c>
      <c r="Q34" s="719">
        <v>62875.920612995644</v>
      </c>
      <c r="R34" s="719">
        <f>L34+M34+N34+O34+P34+Q34</f>
        <v>508932.55645385635</v>
      </c>
      <c r="S34" s="719">
        <v>0</v>
      </c>
      <c r="T34" s="719"/>
      <c r="U34" s="719">
        <f>R34</f>
        <v>508932.55645385635</v>
      </c>
      <c r="V34" s="719"/>
      <c r="W34" s="704"/>
      <c r="X34" s="704"/>
      <c r="Y34" s="485"/>
      <c r="Z34" s="485"/>
      <c r="AA34" s="485"/>
      <c r="AB34" s="485"/>
      <c r="AC34" s="485"/>
      <c r="AD34" s="485"/>
      <c r="AE34" s="485"/>
      <c r="AF34" s="485"/>
      <c r="AG34" s="485"/>
      <c r="AH34" s="485"/>
      <c r="AI34" s="485"/>
      <c r="AJ34" s="485"/>
      <c r="AK34" s="485"/>
      <c r="AL34" s="485"/>
      <c r="AM34" s="485"/>
      <c r="AN34" s="485"/>
      <c r="AO34" s="485"/>
      <c r="AP34" s="485"/>
      <c r="AQ34" s="485"/>
      <c r="AR34" s="485"/>
      <c r="AS34" s="485"/>
      <c r="AT34" s="485"/>
      <c r="AU34" s="485"/>
      <c r="AV34" s="485"/>
      <c r="AW34" s="485"/>
      <c r="AX34" s="485"/>
      <c r="AY34" s="485"/>
      <c r="AZ34" s="485"/>
    </row>
    <row r="35" spans="1:52">
      <c r="A35" s="652"/>
      <c r="B35" s="652"/>
      <c r="C35" s="652"/>
      <c r="D35" s="655" t="s">
        <v>373</v>
      </c>
      <c r="E35" s="521" t="s">
        <v>350</v>
      </c>
      <c r="F35" s="539" t="s">
        <v>264</v>
      </c>
      <c r="G35" s="516">
        <f>G34+1</f>
        <v>30</v>
      </c>
      <c r="H35" s="521" t="s">
        <v>44</v>
      </c>
      <c r="I35" s="713">
        <v>550</v>
      </c>
      <c r="J35" s="713">
        <f>(K35/I35)</f>
        <v>12480.919185453437</v>
      </c>
      <c r="K35" s="713">
        <v>6864505.5519993901</v>
      </c>
      <c r="L35" s="713">
        <v>1213700.4912413177</v>
      </c>
      <c r="M35" s="713">
        <v>1285203.8649981839</v>
      </c>
      <c r="N35" s="713">
        <v>1305156.752073358</v>
      </c>
      <c r="O35" s="713">
        <v>1263814.0900912008</v>
      </c>
      <c r="P35" s="713">
        <v>1383243.8105061157</v>
      </c>
      <c r="Q35" s="713">
        <v>413386.5430892171</v>
      </c>
      <c r="R35" s="713">
        <f>L35+M35+N35+O35+P35+Q35</f>
        <v>6864505.5519993929</v>
      </c>
      <c r="S35" s="713">
        <v>0</v>
      </c>
      <c r="T35" s="713">
        <f>R35</f>
        <v>6864505.5519993929</v>
      </c>
      <c r="U35" s="713"/>
      <c r="V35" s="713">
        <v>0</v>
      </c>
      <c r="W35" s="704"/>
      <c r="X35" s="704"/>
    </row>
    <row r="36" spans="1:52" s="538" customFormat="1">
      <c r="A36" s="652"/>
      <c r="B36" s="649"/>
      <c r="C36" s="649"/>
      <c r="D36" s="656"/>
      <c r="E36" s="521" t="s">
        <v>350</v>
      </c>
      <c r="F36" s="539" t="s">
        <v>245</v>
      </c>
      <c r="G36" s="516">
        <f>G35+1</f>
        <v>31</v>
      </c>
      <c r="H36" s="521" t="s">
        <v>44</v>
      </c>
      <c r="I36" s="713">
        <v>550</v>
      </c>
      <c r="J36" s="713">
        <f>(K36/I36)</f>
        <v>1924.678247876624</v>
      </c>
      <c r="K36" s="713">
        <v>1058573.0363321432</v>
      </c>
      <c r="L36" s="713">
        <v>154729.70588141412</v>
      </c>
      <c r="M36" s="713">
        <v>295261.82481197902</v>
      </c>
      <c r="N36" s="713">
        <v>239753.1952929892</v>
      </c>
      <c r="O36" s="713">
        <v>106564.05215837539</v>
      </c>
      <c r="P36" s="713">
        <v>135593.6528978819</v>
      </c>
      <c r="Q36" s="713">
        <v>126670.6052895038</v>
      </c>
      <c r="R36" s="713">
        <f>L36+M36+N36+O36+P36+Q36</f>
        <v>1058573.0363321435</v>
      </c>
      <c r="S36" s="713">
        <v>0</v>
      </c>
      <c r="T36" s="713">
        <f>R36</f>
        <v>1058573.0363321435</v>
      </c>
      <c r="U36" s="713"/>
      <c r="V36" s="713">
        <v>0</v>
      </c>
      <c r="W36" s="706" t="s">
        <v>368</v>
      </c>
      <c r="X36" s="706" t="s">
        <v>367</v>
      </c>
      <c r="Y36" s="485"/>
      <c r="Z36" s="485"/>
      <c r="AA36" s="485"/>
      <c r="AB36" s="485"/>
      <c r="AC36" s="485"/>
      <c r="AD36" s="485"/>
      <c r="AE36" s="485"/>
      <c r="AF36" s="485"/>
      <c r="AG36" s="485"/>
      <c r="AH36" s="485"/>
      <c r="AI36" s="485"/>
      <c r="AJ36" s="485"/>
      <c r="AK36" s="485"/>
      <c r="AL36" s="485"/>
      <c r="AM36" s="485"/>
      <c r="AN36" s="485"/>
      <c r="AO36" s="485"/>
      <c r="AP36" s="485"/>
      <c r="AQ36" s="485"/>
      <c r="AR36" s="485"/>
      <c r="AS36" s="485"/>
      <c r="AT36" s="485"/>
      <c r="AU36" s="485"/>
      <c r="AV36" s="485"/>
      <c r="AW36" s="485"/>
      <c r="AX36" s="485"/>
      <c r="AY36" s="485"/>
      <c r="AZ36" s="485"/>
    </row>
    <row r="37" spans="1:52" s="530" customFormat="1">
      <c r="A37" s="652"/>
      <c r="B37" s="669" t="s">
        <v>393</v>
      </c>
      <c r="C37" s="722"/>
      <c r="D37" s="534"/>
      <c r="E37" s="532"/>
      <c r="F37" s="541"/>
      <c r="G37" s="532"/>
      <c r="H37" s="532"/>
      <c r="I37" s="721"/>
      <c r="J37" s="720"/>
      <c r="K37" s="721">
        <f>SUM(K33:K36)</f>
        <v>11316682.298023909</v>
      </c>
      <c r="L37" s="721">
        <f>SUM(L33:L36)</f>
        <v>1578166.479180119</v>
      </c>
      <c r="M37" s="721">
        <f>SUM(M33:M36)</f>
        <v>2191164.242136389</v>
      </c>
      <c r="N37" s="721">
        <f>SUM(N33:N36)</f>
        <v>2162783.2823204878</v>
      </c>
      <c r="O37" s="721">
        <f>SUM(O33:O36)</f>
        <v>2187712.3572231662</v>
      </c>
      <c r="P37" s="721">
        <f>SUM(P33:P36)</f>
        <v>2241239.318031725</v>
      </c>
      <c r="Q37" s="721">
        <f>SUM(Q33:Q36)</f>
        <v>955616.61913202517</v>
      </c>
      <c r="R37" s="721">
        <f>L37+M37+N37+O37+P37+Q37</f>
        <v>11316682.298023911</v>
      </c>
      <c r="S37" s="721">
        <f>SUM(S33:S36)</f>
        <v>0</v>
      </c>
      <c r="T37" s="721">
        <f>SUM(T33:T36)</f>
        <v>7923078.5883315364</v>
      </c>
      <c r="U37" s="721">
        <f>SUM(U33:U36)</f>
        <v>3393603.7096923757</v>
      </c>
      <c r="V37" s="720">
        <f>SUM(V33:V36)</f>
        <v>0</v>
      </c>
      <c r="W37" s="704">
        <f>S37+U37</f>
        <v>3393603.7096923757</v>
      </c>
      <c r="X37" s="704">
        <f>T37+V37</f>
        <v>7923078.5883315364</v>
      </c>
      <c r="Y37" s="485"/>
    </row>
    <row r="38" spans="1:52" s="538" customFormat="1" ht="30">
      <c r="A38" s="652"/>
      <c r="B38" s="556" t="s">
        <v>260</v>
      </c>
      <c r="C38" s="556" t="s">
        <v>259</v>
      </c>
      <c r="D38" s="519" t="s">
        <v>205</v>
      </c>
      <c r="E38" s="518" t="s">
        <v>349</v>
      </c>
      <c r="F38" s="518" t="s">
        <v>237</v>
      </c>
      <c r="G38" s="536">
        <f>G36+1</f>
        <v>32</v>
      </c>
      <c r="H38" s="518" t="s">
        <v>390</v>
      </c>
      <c r="I38" s="719">
        <v>2000</v>
      </c>
      <c r="J38" s="719">
        <f>(K38/I38)</f>
        <v>474.48805257800547</v>
      </c>
      <c r="K38" s="719">
        <v>948976.10515601095</v>
      </c>
      <c r="L38" s="719">
        <v>69196.600136499561</v>
      </c>
      <c r="M38" s="719">
        <v>169437.16770370887</v>
      </c>
      <c r="N38" s="719">
        <v>171230.86336068786</v>
      </c>
      <c r="O38" s="719">
        <v>169846.08336555088</v>
      </c>
      <c r="P38" s="719">
        <v>145862.99327908485</v>
      </c>
      <c r="Q38" s="719">
        <v>223402.39731047887</v>
      </c>
      <c r="R38" s="719">
        <f>L38+M38+N38+O38+P38+Q38</f>
        <v>948976.10515601095</v>
      </c>
      <c r="S38" s="719">
        <v>0</v>
      </c>
      <c r="T38" s="719"/>
      <c r="U38" s="719">
        <f>(R38)</f>
        <v>948976.10515601095</v>
      </c>
      <c r="V38" s="719"/>
      <c r="W38" s="706" t="s">
        <v>368</v>
      </c>
      <c r="X38" s="706" t="s">
        <v>367</v>
      </c>
      <c r="Y38" s="485"/>
      <c r="Z38" s="485"/>
      <c r="AA38" s="485"/>
      <c r="AB38" s="485"/>
      <c r="AC38" s="485"/>
      <c r="AD38" s="485"/>
      <c r="AE38" s="485"/>
      <c r="AF38" s="485"/>
      <c r="AG38" s="485"/>
      <c r="AH38" s="485"/>
      <c r="AI38" s="485"/>
      <c r="AJ38" s="485"/>
      <c r="AK38" s="485"/>
      <c r="AL38" s="485"/>
      <c r="AM38" s="485"/>
      <c r="AN38" s="485"/>
      <c r="AO38" s="485"/>
      <c r="AP38" s="485"/>
      <c r="AQ38" s="485"/>
      <c r="AR38" s="485"/>
      <c r="AS38" s="485"/>
      <c r="AT38" s="485"/>
      <c r="AU38" s="485"/>
      <c r="AV38" s="485"/>
      <c r="AW38" s="485"/>
      <c r="AX38" s="485"/>
      <c r="AY38" s="485"/>
      <c r="AZ38" s="485"/>
    </row>
    <row r="39" spans="1:52" s="530" customFormat="1" ht="15.75" thickBot="1">
      <c r="A39" s="649"/>
      <c r="B39" s="653" t="s">
        <v>392</v>
      </c>
      <c r="C39" s="654"/>
      <c r="D39" s="534"/>
      <c r="E39" s="532"/>
      <c r="F39" s="532"/>
      <c r="G39" s="532"/>
      <c r="H39" s="532"/>
      <c r="I39" s="716"/>
      <c r="J39" s="718"/>
      <c r="K39" s="716">
        <f>K38</f>
        <v>948976.10515601095</v>
      </c>
      <c r="L39" s="716">
        <f>L38</f>
        <v>69196.600136499561</v>
      </c>
      <c r="M39" s="716">
        <f>M38</f>
        <v>169437.16770370887</v>
      </c>
      <c r="N39" s="716">
        <f>N38</f>
        <v>171230.86336068786</v>
      </c>
      <c r="O39" s="716">
        <f>O38</f>
        <v>169846.08336555088</v>
      </c>
      <c r="P39" s="716">
        <f>P38</f>
        <v>145862.99327908485</v>
      </c>
      <c r="Q39" s="716">
        <f>Q38</f>
        <v>223402.39731047887</v>
      </c>
      <c r="R39" s="716">
        <f>L39+M39+N39+O39+P39+Q39</f>
        <v>948976.10515601095</v>
      </c>
      <c r="S39" s="718">
        <f>S38</f>
        <v>0</v>
      </c>
      <c r="T39" s="718">
        <f>T38</f>
        <v>0</v>
      </c>
      <c r="U39" s="716">
        <f>U38</f>
        <v>948976.10515601095</v>
      </c>
      <c r="V39" s="718">
        <f>V38</f>
        <v>0</v>
      </c>
      <c r="W39" s="704">
        <f>S39+U39</f>
        <v>948976.10515601095</v>
      </c>
      <c r="X39" s="704">
        <f>T39+V39</f>
        <v>0</v>
      </c>
      <c r="Y39" s="485"/>
    </row>
    <row r="40" spans="1:52" ht="15.75" thickBot="1">
      <c r="A40" s="663" t="s">
        <v>391</v>
      </c>
      <c r="B40" s="664"/>
      <c r="C40" s="665"/>
      <c r="D40" s="529"/>
      <c r="E40" s="529"/>
      <c r="F40" s="528"/>
      <c r="G40" s="528"/>
      <c r="H40" s="527"/>
      <c r="I40" s="715"/>
      <c r="J40" s="527"/>
      <c r="K40" s="715">
        <f>K39+K37</f>
        <v>12265658.403179921</v>
      </c>
      <c r="L40" s="715">
        <f>L39+L37</f>
        <v>1647363.0793166186</v>
      </c>
      <c r="M40" s="715">
        <f>M39+M37</f>
        <v>2360601.4098400977</v>
      </c>
      <c r="N40" s="715">
        <f>N39+N37</f>
        <v>2334014.1456811754</v>
      </c>
      <c r="O40" s="715">
        <f>O39+O37</f>
        <v>2357558.4405887169</v>
      </c>
      <c r="P40" s="715">
        <f>P39+P37</f>
        <v>2387102.31131081</v>
      </c>
      <c r="Q40" s="715">
        <f>Q39+Q37</f>
        <v>1179019.016442504</v>
      </c>
      <c r="R40" s="715">
        <f>L40+M40+N40+O40+P40+Q40</f>
        <v>12265658.403179921</v>
      </c>
      <c r="S40" s="715">
        <f>S39+S37</f>
        <v>0</v>
      </c>
      <c r="T40" s="715">
        <f>T39+T37</f>
        <v>7923078.5883315364</v>
      </c>
      <c r="U40" s="715">
        <f>U39+U37</f>
        <v>4342579.8148483867</v>
      </c>
      <c r="V40" s="715">
        <f>V37+V39</f>
        <v>0</v>
      </c>
      <c r="W40" s="704">
        <f>S40+U40</f>
        <v>4342579.8148483867</v>
      </c>
      <c r="X40" s="704">
        <f>T40+V40</f>
        <v>7923078.5883315364</v>
      </c>
    </row>
    <row r="41" spans="1:52">
      <c r="A41" s="648" t="s">
        <v>257</v>
      </c>
      <c r="B41" s="648" t="s">
        <v>256</v>
      </c>
      <c r="C41" s="648" t="s">
        <v>255</v>
      </c>
      <c r="D41" s="519" t="s">
        <v>205</v>
      </c>
      <c r="E41" s="518" t="s">
        <v>349</v>
      </c>
      <c r="F41" s="523" t="s">
        <v>237</v>
      </c>
      <c r="G41" s="536">
        <f>G38+1</f>
        <v>33</v>
      </c>
      <c r="H41" s="515" t="s">
        <v>390</v>
      </c>
      <c r="I41" s="717">
        <v>2000</v>
      </c>
      <c r="J41" s="717">
        <f>(K41/I41)</f>
        <v>205.28758886645858</v>
      </c>
      <c r="K41" s="717">
        <v>410575.17773291713</v>
      </c>
      <c r="L41" s="717">
        <v>82115.035546583429</v>
      </c>
      <c r="M41" s="717">
        <v>82115.035546583429</v>
      </c>
      <c r="N41" s="717">
        <v>82115.035546583429</v>
      </c>
      <c r="O41" s="717">
        <v>82115.035546583429</v>
      </c>
      <c r="P41" s="717">
        <v>82115.035546583429</v>
      </c>
      <c r="Q41" s="717">
        <v>0</v>
      </c>
      <c r="R41" s="717">
        <f>L41+M41+N41+O41+P41+Q41</f>
        <v>410575.17773291713</v>
      </c>
      <c r="S41" s="717">
        <v>0</v>
      </c>
      <c r="T41" s="717"/>
      <c r="U41" s="717">
        <f>(R41)</f>
        <v>410575.17773291713</v>
      </c>
      <c r="V41" s="717"/>
      <c r="W41" s="704"/>
      <c r="X41" s="704"/>
    </row>
    <row r="42" spans="1:52">
      <c r="A42" s="652"/>
      <c r="B42" s="652"/>
      <c r="C42" s="652"/>
      <c r="D42" s="519" t="s">
        <v>205</v>
      </c>
      <c r="E42" s="518" t="s">
        <v>349</v>
      </c>
      <c r="F42" s="523" t="s">
        <v>237</v>
      </c>
      <c r="G42" s="536">
        <f>G41+1</f>
        <v>34</v>
      </c>
      <c r="H42" s="518" t="s">
        <v>389</v>
      </c>
      <c r="I42" s="717">
        <v>100</v>
      </c>
      <c r="J42" s="717">
        <f>(K42/I42)</f>
        <v>1537.1672329950586</v>
      </c>
      <c r="K42" s="717">
        <v>153716.72329950586</v>
      </c>
      <c r="L42" s="717">
        <v>17792.818486152853</v>
      </c>
      <c r="M42" s="717">
        <v>24061.095934728855</v>
      </c>
      <c r="N42" s="717">
        <v>31534.827838806657</v>
      </c>
      <c r="O42" s="717">
        <v>37051.226058568558</v>
      </c>
      <c r="P42" s="717">
        <v>24327.009914551203</v>
      </c>
      <c r="Q42" s="717">
        <v>18949.745066697746</v>
      </c>
      <c r="R42" s="717">
        <f>L42+M42+N42+O42+P42+Q42</f>
        <v>153716.72329950586</v>
      </c>
      <c r="S42" s="717">
        <v>0</v>
      </c>
      <c r="T42" s="717"/>
      <c r="U42" s="717">
        <f>(R42)</f>
        <v>153716.72329950586</v>
      </c>
      <c r="V42" s="717"/>
      <c r="W42" s="704"/>
      <c r="X42" s="704"/>
    </row>
    <row r="43" spans="1:52">
      <c r="A43" s="652"/>
      <c r="B43" s="652"/>
      <c r="C43" s="652"/>
      <c r="D43" s="519" t="s">
        <v>205</v>
      </c>
      <c r="E43" s="518" t="s">
        <v>349</v>
      </c>
      <c r="F43" s="523" t="s">
        <v>229</v>
      </c>
      <c r="G43" s="536">
        <f>G42+1</f>
        <v>35</v>
      </c>
      <c r="H43" s="518" t="s">
        <v>389</v>
      </c>
      <c r="I43" s="717">
        <v>100</v>
      </c>
      <c r="J43" s="717">
        <f>(K43/I43)</f>
        <v>531.41545566588798</v>
      </c>
      <c r="K43" s="717">
        <v>53141.5455665888</v>
      </c>
      <c r="L43" s="717">
        <v>1030.2888640000001</v>
      </c>
      <c r="M43" s="717">
        <v>7298.5663125760002</v>
      </c>
      <c r="N43" s="717">
        <v>14772.29821665385</v>
      </c>
      <c r="O43" s="717">
        <v>20288.696436415703</v>
      </c>
      <c r="P43" s="717">
        <v>7564.4802923983498</v>
      </c>
      <c r="Q43" s="717">
        <v>2187.2154445448946</v>
      </c>
      <c r="R43" s="717">
        <f>L43+M43+N43+O43+P43+Q43</f>
        <v>53141.5455665888</v>
      </c>
      <c r="S43" s="717">
        <v>0</v>
      </c>
      <c r="T43" s="717"/>
      <c r="U43" s="717">
        <f>(R43)</f>
        <v>53141.5455665888</v>
      </c>
      <c r="V43" s="717"/>
      <c r="W43" s="704"/>
      <c r="X43" s="704"/>
    </row>
    <row r="44" spans="1:52" s="538" customFormat="1" ht="30">
      <c r="A44" s="652"/>
      <c r="B44" s="652"/>
      <c r="C44" s="652"/>
      <c r="D44" s="558" t="s">
        <v>373</v>
      </c>
      <c r="E44" s="521" t="s">
        <v>349</v>
      </c>
      <c r="F44" s="539" t="s">
        <v>245</v>
      </c>
      <c r="G44" s="536">
        <f>G43+1</f>
        <v>36</v>
      </c>
      <c r="H44" s="521" t="s">
        <v>388</v>
      </c>
      <c r="I44" s="713">
        <v>70000</v>
      </c>
      <c r="J44" s="713">
        <f>(K44/I44)</f>
        <v>30.868413775474139</v>
      </c>
      <c r="K44" s="713">
        <v>2160788.9642831897</v>
      </c>
      <c r="L44" s="713">
        <v>259294.67571398275</v>
      </c>
      <c r="M44" s="713">
        <v>324118.34464247845</v>
      </c>
      <c r="N44" s="713">
        <v>388942.01357097417</v>
      </c>
      <c r="O44" s="713">
        <v>324118.34464247845</v>
      </c>
      <c r="P44" s="713">
        <v>432157.79285663797</v>
      </c>
      <c r="Q44" s="713">
        <v>432157.79285663797</v>
      </c>
      <c r="R44" s="713">
        <f>L44+M44+N44+O44+P44+Q44</f>
        <v>2160788.9642831897</v>
      </c>
      <c r="S44" s="713">
        <v>0</v>
      </c>
      <c r="T44" s="713">
        <v>0</v>
      </c>
      <c r="U44" s="713"/>
      <c r="V44" s="713">
        <f>R44</f>
        <v>2160788.9642831897</v>
      </c>
      <c r="W44" s="540"/>
      <c r="X44" s="540"/>
      <c r="Y44" s="485"/>
      <c r="Z44" s="485"/>
      <c r="AA44" s="485"/>
      <c r="AB44" s="485"/>
      <c r="AC44" s="485"/>
      <c r="AD44" s="485"/>
      <c r="AE44" s="485"/>
      <c r="AF44" s="485"/>
      <c r="AG44" s="485"/>
      <c r="AH44" s="485"/>
      <c r="AI44" s="485"/>
      <c r="AJ44" s="485"/>
      <c r="AK44" s="485"/>
      <c r="AL44" s="485"/>
      <c r="AM44" s="485"/>
      <c r="AN44" s="485"/>
      <c r="AO44" s="485"/>
      <c r="AP44" s="485"/>
      <c r="AQ44" s="485"/>
      <c r="AR44" s="485"/>
      <c r="AS44" s="485"/>
      <c r="AT44" s="485"/>
      <c r="AU44" s="485"/>
      <c r="AV44" s="485"/>
      <c r="AW44" s="485"/>
      <c r="AX44" s="485"/>
      <c r="AY44" s="485"/>
      <c r="AZ44" s="485"/>
    </row>
    <row r="45" spans="1:52" s="538" customFormat="1" ht="28.5" customHeight="1">
      <c r="A45" s="652"/>
      <c r="B45" s="652"/>
      <c r="C45" s="649"/>
      <c r="D45" s="558" t="s">
        <v>373</v>
      </c>
      <c r="E45" s="521" t="s">
        <v>350</v>
      </c>
      <c r="F45" s="539" t="s">
        <v>245</v>
      </c>
      <c r="G45" s="536">
        <f>G44+1</f>
        <v>37</v>
      </c>
      <c r="H45" s="521" t="s">
        <v>375</v>
      </c>
      <c r="I45" s="713">
        <v>1</v>
      </c>
      <c r="J45" s="713">
        <f>(K45/I45)</f>
        <v>1479323.2114750906</v>
      </c>
      <c r="K45" s="713">
        <v>1479323.2114750906</v>
      </c>
      <c r="L45" s="713">
        <v>177518.78537701088</v>
      </c>
      <c r="M45" s="713">
        <v>221898.48172126358</v>
      </c>
      <c r="N45" s="713">
        <v>266278.17806551629</v>
      </c>
      <c r="O45" s="713">
        <v>221898.48172126358</v>
      </c>
      <c r="P45" s="713">
        <v>295864.64229501813</v>
      </c>
      <c r="Q45" s="713">
        <v>295864.64229501813</v>
      </c>
      <c r="R45" s="713">
        <f>L45+M45+N45+O45+P45+Q45</f>
        <v>1479323.2114750906</v>
      </c>
      <c r="S45" s="713">
        <v>0</v>
      </c>
      <c r="T45" s="713">
        <f>R45</f>
        <v>1479323.2114750906</v>
      </c>
      <c r="U45" s="713"/>
      <c r="V45" s="713">
        <v>0</v>
      </c>
      <c r="W45" s="704"/>
      <c r="X45" s="704"/>
      <c r="Y45" s="485"/>
      <c r="Z45" s="485"/>
      <c r="AA45" s="485"/>
      <c r="AB45" s="485"/>
      <c r="AC45" s="485"/>
      <c r="AD45" s="485"/>
      <c r="AE45" s="485"/>
      <c r="AF45" s="485"/>
      <c r="AG45" s="485"/>
      <c r="AH45" s="485"/>
      <c r="AI45" s="485"/>
      <c r="AJ45" s="485"/>
      <c r="AK45" s="485"/>
      <c r="AL45" s="485"/>
      <c r="AM45" s="485"/>
      <c r="AN45" s="485"/>
      <c r="AO45" s="485"/>
      <c r="AP45" s="485"/>
      <c r="AQ45" s="485"/>
      <c r="AR45" s="485"/>
      <c r="AS45" s="485"/>
      <c r="AT45" s="485"/>
      <c r="AU45" s="485"/>
      <c r="AV45" s="485"/>
      <c r="AW45" s="485"/>
      <c r="AX45" s="485"/>
      <c r="AY45" s="485"/>
      <c r="AZ45" s="485"/>
    </row>
    <row r="46" spans="1:52" s="520" customFormat="1" ht="30">
      <c r="A46" s="652"/>
      <c r="B46" s="652"/>
      <c r="C46" s="648" t="s">
        <v>387</v>
      </c>
      <c r="D46" s="519" t="s">
        <v>205</v>
      </c>
      <c r="E46" s="518" t="s">
        <v>349</v>
      </c>
      <c r="F46" s="523" t="s">
        <v>241</v>
      </c>
      <c r="G46" s="536">
        <f>G45+1</f>
        <v>38</v>
      </c>
      <c r="H46" s="515" t="s">
        <v>386</v>
      </c>
      <c r="I46" s="717">
        <v>30</v>
      </c>
      <c r="J46" s="717">
        <f>(K46/I46)</f>
        <v>15646.666666666666</v>
      </c>
      <c r="K46" s="717">
        <v>469400</v>
      </c>
      <c r="L46" s="717">
        <v>95000</v>
      </c>
      <c r="M46" s="717">
        <v>140000</v>
      </c>
      <c r="N46" s="717">
        <v>140000</v>
      </c>
      <c r="O46" s="717">
        <v>94400</v>
      </c>
      <c r="P46" s="717">
        <v>0</v>
      </c>
      <c r="Q46" s="717">
        <v>0</v>
      </c>
      <c r="R46" s="717">
        <f>L46+M46+N46+O46+P46+Q46</f>
        <v>469400</v>
      </c>
      <c r="S46" s="717">
        <v>0</v>
      </c>
      <c r="T46" s="717"/>
      <c r="U46" s="717">
        <f>R46</f>
        <v>469400</v>
      </c>
      <c r="V46" s="717"/>
      <c r="W46" s="704"/>
      <c r="X46" s="704"/>
      <c r="Y46" s="485"/>
      <c r="Z46" s="485"/>
      <c r="AA46" s="485"/>
      <c r="AB46" s="485"/>
      <c r="AC46" s="485"/>
      <c r="AD46" s="485"/>
      <c r="AE46" s="485"/>
      <c r="AF46" s="485"/>
      <c r="AG46" s="485"/>
      <c r="AH46" s="485"/>
      <c r="AI46" s="485"/>
      <c r="AJ46" s="485"/>
      <c r="AK46" s="485"/>
      <c r="AL46" s="485"/>
      <c r="AM46" s="485"/>
      <c r="AN46" s="485"/>
      <c r="AO46" s="485"/>
      <c r="AP46" s="485"/>
      <c r="AQ46" s="485"/>
      <c r="AR46" s="485"/>
      <c r="AS46" s="485"/>
      <c r="AT46" s="485"/>
      <c r="AU46" s="485"/>
      <c r="AV46" s="485"/>
      <c r="AW46" s="485"/>
      <c r="AX46" s="485"/>
      <c r="AY46" s="485"/>
      <c r="AZ46" s="485"/>
    </row>
    <row r="47" spans="1:52" s="520" customFormat="1">
      <c r="A47" s="652"/>
      <c r="B47" s="652"/>
      <c r="C47" s="649"/>
      <c r="D47" s="519" t="s">
        <v>205</v>
      </c>
      <c r="E47" s="518" t="s">
        <v>349</v>
      </c>
      <c r="F47" s="537" t="s">
        <v>229</v>
      </c>
      <c r="G47" s="536">
        <f>G46+1</f>
        <v>39</v>
      </c>
      <c r="H47" s="559" t="s">
        <v>375</v>
      </c>
      <c r="I47" s="717">
        <v>3</v>
      </c>
      <c r="J47" s="717">
        <f>(K47/I47)</f>
        <v>164000</v>
      </c>
      <c r="K47" s="717">
        <v>492000</v>
      </c>
      <c r="L47" s="717">
        <v>196800</v>
      </c>
      <c r="M47" s="717">
        <v>196800</v>
      </c>
      <c r="N47" s="717">
        <v>98400</v>
      </c>
      <c r="O47" s="717">
        <v>0</v>
      </c>
      <c r="P47" s="717">
        <v>0</v>
      </c>
      <c r="Q47" s="717">
        <v>0</v>
      </c>
      <c r="R47" s="717">
        <f>L47+M47+N47+O47+P47+Q47</f>
        <v>492000</v>
      </c>
      <c r="S47" s="717">
        <v>0</v>
      </c>
      <c r="T47" s="717"/>
      <c r="U47" s="717">
        <f>R47</f>
        <v>492000</v>
      </c>
      <c r="V47" s="717"/>
      <c r="W47" s="704"/>
      <c r="X47" s="704"/>
      <c r="Y47" s="485"/>
      <c r="Z47" s="485"/>
      <c r="AA47" s="485"/>
      <c r="AB47" s="485"/>
      <c r="AC47" s="485"/>
      <c r="AD47" s="485"/>
      <c r="AE47" s="485"/>
      <c r="AF47" s="485"/>
      <c r="AG47" s="485"/>
      <c r="AH47" s="485"/>
      <c r="AI47" s="485"/>
      <c r="AJ47" s="485"/>
      <c r="AK47" s="485"/>
      <c r="AL47" s="485"/>
      <c r="AM47" s="485"/>
      <c r="AN47" s="485"/>
      <c r="AO47" s="485"/>
      <c r="AP47" s="485"/>
      <c r="AQ47" s="485"/>
      <c r="AR47" s="485"/>
      <c r="AS47" s="485"/>
      <c r="AT47" s="485"/>
      <c r="AU47" s="485"/>
      <c r="AV47" s="485"/>
      <c r="AW47" s="485"/>
      <c r="AX47" s="485"/>
      <c r="AY47" s="485"/>
      <c r="AZ47" s="485"/>
    </row>
    <row r="48" spans="1:52" ht="30">
      <c r="A48" s="652"/>
      <c r="B48" s="652"/>
      <c r="C48" s="648" t="s">
        <v>385</v>
      </c>
      <c r="D48" s="646" t="s">
        <v>205</v>
      </c>
      <c r="E48" s="518" t="s">
        <v>349</v>
      </c>
      <c r="F48" s="535" t="s">
        <v>231</v>
      </c>
      <c r="G48" s="536">
        <f>G47+1</f>
        <v>40</v>
      </c>
      <c r="H48" s="518" t="s">
        <v>384</v>
      </c>
      <c r="I48" s="717">
        <v>4</v>
      </c>
      <c r="J48" s="717">
        <f>(K48/I48)</f>
        <v>10000</v>
      </c>
      <c r="K48" s="717">
        <v>40000</v>
      </c>
      <c r="L48" s="717">
        <v>0</v>
      </c>
      <c r="M48" s="717">
        <v>10000</v>
      </c>
      <c r="N48" s="717">
        <v>10000</v>
      </c>
      <c r="O48" s="717">
        <v>10000</v>
      </c>
      <c r="P48" s="717">
        <v>10000</v>
      </c>
      <c r="Q48" s="717">
        <v>0</v>
      </c>
      <c r="R48" s="717">
        <f>L48+M48+N48+O48+P48+Q48</f>
        <v>40000</v>
      </c>
      <c r="S48" s="717">
        <v>0</v>
      </c>
      <c r="T48" s="717"/>
      <c r="U48" s="717">
        <f>R48</f>
        <v>40000</v>
      </c>
      <c r="V48" s="717"/>
      <c r="W48" s="704"/>
      <c r="X48" s="704"/>
    </row>
    <row r="49" spans="1:54" s="520" customFormat="1" ht="30">
      <c r="A49" s="652"/>
      <c r="B49" s="649"/>
      <c r="C49" s="652"/>
      <c r="D49" s="647"/>
      <c r="E49" s="518" t="s">
        <v>349</v>
      </c>
      <c r="F49" s="535" t="s">
        <v>237</v>
      </c>
      <c r="G49" s="516">
        <f>G48+1</f>
        <v>41</v>
      </c>
      <c r="H49" s="518" t="s">
        <v>384</v>
      </c>
      <c r="I49" s="717">
        <v>20</v>
      </c>
      <c r="J49" s="717">
        <f>(K49/I49)</f>
        <v>33028.758886645854</v>
      </c>
      <c r="K49" s="717">
        <v>660575.17773291713</v>
      </c>
      <c r="L49" s="717">
        <v>0</v>
      </c>
      <c r="M49" s="717">
        <v>137143.79443322928</v>
      </c>
      <c r="N49" s="717">
        <v>137143.79443322928</v>
      </c>
      <c r="O49" s="717">
        <v>193143.79443322928</v>
      </c>
      <c r="P49" s="717">
        <v>193143.79443322928</v>
      </c>
      <c r="Q49" s="717">
        <v>0</v>
      </c>
      <c r="R49" s="717">
        <f>L49+M49+N49+O49+P49+Q49</f>
        <v>660575.17773291713</v>
      </c>
      <c r="S49" s="717">
        <v>0</v>
      </c>
      <c r="T49" s="717"/>
      <c r="U49" s="717">
        <f>R49</f>
        <v>660575.17773291713</v>
      </c>
      <c r="V49" s="717"/>
      <c r="W49" s="706" t="s">
        <v>368</v>
      </c>
      <c r="X49" s="706" t="s">
        <v>367</v>
      </c>
      <c r="Y49" s="485"/>
      <c r="Z49" s="485"/>
      <c r="AA49" s="485"/>
      <c r="AB49" s="485"/>
      <c r="AC49" s="485"/>
      <c r="AD49" s="485"/>
      <c r="AE49" s="485"/>
      <c r="AF49" s="485"/>
      <c r="AG49" s="485"/>
      <c r="AH49" s="485"/>
      <c r="AI49" s="485"/>
      <c r="AJ49" s="485"/>
      <c r="AK49" s="485"/>
      <c r="AL49" s="485"/>
      <c r="AM49" s="485"/>
      <c r="AN49" s="485"/>
      <c r="AO49" s="485"/>
      <c r="AP49" s="485"/>
      <c r="AQ49" s="485"/>
      <c r="AR49" s="485"/>
      <c r="AS49" s="485"/>
      <c r="AT49" s="485"/>
      <c r="AU49" s="485"/>
      <c r="AV49" s="485"/>
      <c r="AW49" s="485"/>
      <c r="AX49" s="485"/>
      <c r="AY49" s="485"/>
      <c r="AZ49" s="485"/>
    </row>
    <row r="50" spans="1:54" s="530" customFormat="1" ht="15.75" thickBot="1">
      <c r="A50" s="649"/>
      <c r="B50" s="653" t="s">
        <v>383</v>
      </c>
      <c r="C50" s="654"/>
      <c r="D50" s="534"/>
      <c r="E50" s="532"/>
      <c r="F50" s="533"/>
      <c r="G50" s="532"/>
      <c r="H50" s="532"/>
      <c r="I50" s="716"/>
      <c r="J50" s="531"/>
      <c r="K50" s="531">
        <f>SUM(K41:K49)</f>
        <v>5919520.8000902096</v>
      </c>
      <c r="L50" s="531">
        <f>SUM(L41:L49)</f>
        <v>829551.60398772988</v>
      </c>
      <c r="M50" s="531">
        <f>SUM(M41:M49)</f>
        <v>1143435.3185908596</v>
      </c>
      <c r="N50" s="531">
        <f>SUM(N41:N49)</f>
        <v>1169186.1476717638</v>
      </c>
      <c r="O50" s="531">
        <f>SUM(O41:O49)</f>
        <v>983015.57883853896</v>
      </c>
      <c r="P50" s="531">
        <f>SUM(P41:P49)</f>
        <v>1045172.7553384184</v>
      </c>
      <c r="Q50" s="531">
        <f>SUM(Q41:Q49)</f>
        <v>749159.39566289866</v>
      </c>
      <c r="R50" s="531">
        <f>L50+M50+N50+O50+P50+Q50</f>
        <v>5919520.8000902086</v>
      </c>
      <c r="S50" s="531">
        <f>SUM(S41:S49)</f>
        <v>0</v>
      </c>
      <c r="T50" s="531">
        <f>SUM(T41:T49)</f>
        <v>1479323.2114750906</v>
      </c>
      <c r="U50" s="531">
        <f>SUM(U41:U49)</f>
        <v>2279408.6243319288</v>
      </c>
      <c r="V50" s="531">
        <f>SUM(V41:V49)</f>
        <v>2160788.9642831897</v>
      </c>
      <c r="W50" s="704">
        <f>S50+U50</f>
        <v>2279408.6243319288</v>
      </c>
      <c r="X50" s="704">
        <f>T50+V50</f>
        <v>3640112.1757582803</v>
      </c>
      <c r="Y50" s="485"/>
    </row>
    <row r="51" spans="1:54" ht="15.75" thickBot="1">
      <c r="A51" s="666" t="s">
        <v>382</v>
      </c>
      <c r="B51" s="667"/>
      <c r="C51" s="668"/>
      <c r="D51" s="529"/>
      <c r="E51" s="529"/>
      <c r="F51" s="528"/>
      <c r="G51" s="528"/>
      <c r="H51" s="527"/>
      <c r="I51" s="715"/>
      <c r="J51" s="527"/>
      <c r="K51" s="715">
        <f>K50</f>
        <v>5919520.8000902096</v>
      </c>
      <c r="L51" s="715">
        <f>L50</f>
        <v>829551.60398772988</v>
      </c>
      <c r="M51" s="715">
        <f>M50</f>
        <v>1143435.3185908596</v>
      </c>
      <c r="N51" s="715">
        <f>N50</f>
        <v>1169186.1476717638</v>
      </c>
      <c r="O51" s="715">
        <f>O50</f>
        <v>983015.57883853896</v>
      </c>
      <c r="P51" s="715">
        <f>P50</f>
        <v>1045172.7553384184</v>
      </c>
      <c r="Q51" s="715">
        <f>Q50</f>
        <v>749159.39566289866</v>
      </c>
      <c r="R51" s="715">
        <f>L51+M51+N51+O51+P51+Q51</f>
        <v>5919520.8000902086</v>
      </c>
      <c r="S51" s="715">
        <f>S50</f>
        <v>0</v>
      </c>
      <c r="T51" s="715">
        <f>T50</f>
        <v>1479323.2114750906</v>
      </c>
      <c r="U51" s="715">
        <f>U50</f>
        <v>2279408.6243319288</v>
      </c>
      <c r="V51" s="715">
        <f>V50</f>
        <v>2160788.9642831897</v>
      </c>
      <c r="W51" s="704">
        <f>S51+U51</f>
        <v>2279408.6243319288</v>
      </c>
      <c r="X51" s="704">
        <f>T51+V51</f>
        <v>3640112.1757582803</v>
      </c>
    </row>
    <row r="52" spans="1:54" ht="15" customHeight="1">
      <c r="A52" s="670" t="s">
        <v>381</v>
      </c>
      <c r="B52" s="651" t="s">
        <v>234</v>
      </c>
      <c r="C52" s="526" t="s">
        <v>380</v>
      </c>
      <c r="D52" s="519" t="s">
        <v>205</v>
      </c>
      <c r="E52" s="518" t="s">
        <v>349</v>
      </c>
      <c r="F52" s="525" t="s">
        <v>228</v>
      </c>
      <c r="G52" s="516">
        <f>G49+1</f>
        <v>42</v>
      </c>
      <c r="H52" s="524" t="s">
        <v>379</v>
      </c>
      <c r="I52" s="524">
        <v>2</v>
      </c>
      <c r="J52" s="714">
        <f>(K52/I52)</f>
        <v>27817.799328000008</v>
      </c>
      <c r="K52" s="714">
        <v>55635.598656000016</v>
      </c>
      <c r="L52" s="714">
        <v>55635.598656000016</v>
      </c>
      <c r="M52" s="714">
        <v>0</v>
      </c>
      <c r="N52" s="714">
        <v>0</v>
      </c>
      <c r="O52" s="714">
        <v>0</v>
      </c>
      <c r="P52" s="714">
        <v>0</v>
      </c>
      <c r="Q52" s="714">
        <v>0</v>
      </c>
      <c r="R52" s="714">
        <f>L52+M52+N52+O52+P52+Q52</f>
        <v>55635.598656000016</v>
      </c>
      <c r="S52" s="714">
        <v>0</v>
      </c>
      <c r="T52" s="714"/>
      <c r="U52" s="714">
        <f>(R52)</f>
        <v>55635.598656000016</v>
      </c>
      <c r="V52" s="714"/>
      <c r="W52" s="704"/>
      <c r="X52" s="704"/>
    </row>
    <row r="53" spans="1:54">
      <c r="A53" s="652"/>
      <c r="B53" s="651"/>
      <c r="C53" s="556" t="s">
        <v>378</v>
      </c>
      <c r="D53" s="519" t="s">
        <v>205</v>
      </c>
      <c r="E53" s="518" t="s">
        <v>349</v>
      </c>
      <c r="F53" s="525" t="s">
        <v>229</v>
      </c>
      <c r="G53" s="516">
        <f>G52+1</f>
        <v>43</v>
      </c>
      <c r="H53" s="524" t="s">
        <v>375</v>
      </c>
      <c r="I53" s="524">
        <v>3</v>
      </c>
      <c r="J53" s="714">
        <f>(K53/I53)</f>
        <v>173333.33333333334</v>
      </c>
      <c r="K53" s="714">
        <v>520000</v>
      </c>
      <c r="L53" s="714">
        <v>60000</v>
      </c>
      <c r="M53" s="714">
        <v>0</v>
      </c>
      <c r="N53" s="714">
        <v>60000</v>
      </c>
      <c r="O53" s="714">
        <v>0</v>
      </c>
      <c r="P53" s="714">
        <v>0</v>
      </c>
      <c r="Q53" s="714">
        <v>400000</v>
      </c>
      <c r="R53" s="714">
        <f>L53+M53+N53+O53+P53+Q53</f>
        <v>520000</v>
      </c>
      <c r="S53" s="714">
        <v>0</v>
      </c>
      <c r="T53" s="714"/>
      <c r="U53" s="714">
        <f>(R53)</f>
        <v>520000</v>
      </c>
      <c r="V53" s="714"/>
      <c r="W53" s="704"/>
      <c r="X53" s="704"/>
    </row>
    <row r="54" spans="1:54">
      <c r="A54" s="652"/>
      <c r="B54" s="651"/>
      <c r="C54" s="652" t="s">
        <v>377</v>
      </c>
      <c r="D54" s="646" t="s">
        <v>205</v>
      </c>
      <c r="E54" s="518" t="s">
        <v>349</v>
      </c>
      <c r="F54" s="523" t="s">
        <v>231</v>
      </c>
      <c r="G54" s="516">
        <f>G53+1</f>
        <v>44</v>
      </c>
      <c r="H54" s="518" t="s">
        <v>375</v>
      </c>
      <c r="I54" s="518">
        <v>6</v>
      </c>
      <c r="J54" s="714">
        <f>(K54/I54)</f>
        <v>13333.333333333334</v>
      </c>
      <c r="K54" s="714">
        <v>80000</v>
      </c>
      <c r="L54" s="714">
        <v>13000</v>
      </c>
      <c r="M54" s="714">
        <v>13000</v>
      </c>
      <c r="N54" s="714">
        <v>13000</v>
      </c>
      <c r="O54" s="714">
        <v>13000</v>
      </c>
      <c r="P54" s="714">
        <v>13000</v>
      </c>
      <c r="Q54" s="714">
        <v>15000</v>
      </c>
      <c r="R54" s="714">
        <f>L54+M54+N54+O54+P54+Q54</f>
        <v>80000</v>
      </c>
      <c r="S54" s="714">
        <v>0</v>
      </c>
      <c r="T54" s="714"/>
      <c r="U54" s="714">
        <f>(R54)</f>
        <v>80000</v>
      </c>
      <c r="V54" s="714"/>
      <c r="W54" s="704"/>
      <c r="X54" s="704"/>
    </row>
    <row r="55" spans="1:54">
      <c r="A55" s="652"/>
      <c r="B55" s="651"/>
      <c r="C55" s="652"/>
      <c r="D55" s="647"/>
      <c r="E55" s="518" t="s">
        <v>349</v>
      </c>
      <c r="F55" s="523" t="s">
        <v>229</v>
      </c>
      <c r="G55" s="516">
        <f>G54+1</f>
        <v>45</v>
      </c>
      <c r="H55" s="518" t="s">
        <v>375</v>
      </c>
      <c r="I55" s="518">
        <v>6</v>
      </c>
      <c r="J55" s="714">
        <f>(K55/I55)</f>
        <v>31625</v>
      </c>
      <c r="K55" s="714">
        <v>189750</v>
      </c>
      <c r="L55" s="714">
        <v>31000</v>
      </c>
      <c r="M55" s="714">
        <v>31000</v>
      </c>
      <c r="N55" s="714">
        <v>31000</v>
      </c>
      <c r="O55" s="714">
        <v>31000</v>
      </c>
      <c r="P55" s="714">
        <v>31000</v>
      </c>
      <c r="Q55" s="714">
        <v>34750</v>
      </c>
      <c r="R55" s="714">
        <f>L55+M55+N55+O55+P55+Q55</f>
        <v>189750</v>
      </c>
      <c r="S55" s="714">
        <v>0</v>
      </c>
      <c r="T55" s="714"/>
      <c r="U55" s="714">
        <f>(R55)</f>
        <v>189750</v>
      </c>
      <c r="V55" s="714"/>
      <c r="W55" s="704"/>
      <c r="X55" s="704"/>
    </row>
    <row r="56" spans="1:54">
      <c r="A56" s="652"/>
      <c r="B56" s="651"/>
      <c r="C56" s="556" t="s">
        <v>376</v>
      </c>
      <c r="D56" s="519" t="s">
        <v>205</v>
      </c>
      <c r="E56" s="518" t="s">
        <v>349</v>
      </c>
      <c r="F56" s="523" t="s">
        <v>228</v>
      </c>
      <c r="G56" s="516">
        <f>G55+1</f>
        <v>46</v>
      </c>
      <c r="H56" s="518" t="s">
        <v>375</v>
      </c>
      <c r="I56" s="515">
        <v>1</v>
      </c>
      <c r="J56" s="714">
        <f>(K56/I56)</f>
        <v>51514.443200000002</v>
      </c>
      <c r="K56" s="714">
        <v>51514.443200000002</v>
      </c>
      <c r="L56" s="714">
        <v>51514.443200000009</v>
      </c>
      <c r="M56" s="714">
        <v>0</v>
      </c>
      <c r="N56" s="714">
        <v>0</v>
      </c>
      <c r="O56" s="714">
        <v>0</v>
      </c>
      <c r="P56" s="714">
        <v>0</v>
      </c>
      <c r="Q56" s="714">
        <v>0</v>
      </c>
      <c r="R56" s="714">
        <f>L56+M56+N56+O56+P56+Q56</f>
        <v>51514.443200000009</v>
      </c>
      <c r="S56" s="714">
        <v>0</v>
      </c>
      <c r="T56" s="714"/>
      <c r="U56" s="714">
        <f>(R56)</f>
        <v>51514.443200000009</v>
      </c>
      <c r="V56" s="714"/>
      <c r="W56" s="704"/>
      <c r="X56" s="704"/>
    </row>
    <row r="57" spans="1:54" s="520" customFormat="1" ht="27.75" customHeight="1">
      <c r="A57" s="652"/>
      <c r="B57" s="651"/>
      <c r="C57" s="555" t="s">
        <v>374</v>
      </c>
      <c r="D57" s="557" t="s">
        <v>373</v>
      </c>
      <c r="E57" s="521" t="s">
        <v>349</v>
      </c>
      <c r="F57" s="522" t="s">
        <v>207</v>
      </c>
      <c r="G57" s="516">
        <f>G56+1</f>
        <v>47</v>
      </c>
      <c r="H57" s="521" t="s">
        <v>369</v>
      </c>
      <c r="I57" s="521">
        <v>7</v>
      </c>
      <c r="J57" s="713">
        <f>(K57/I57)</f>
        <v>3290372.1631695321</v>
      </c>
      <c r="K57" s="713">
        <v>23032605.142186724</v>
      </c>
      <c r="L57" s="713">
        <v>3360186.2559149656</v>
      </c>
      <c r="M57" s="713">
        <v>4062874.86089683</v>
      </c>
      <c r="N57" s="713">
        <v>3965644.5617840965</v>
      </c>
      <c r="O57" s="713">
        <v>4028901.3644983014</v>
      </c>
      <c r="P57" s="713">
        <v>4017260.3846841264</v>
      </c>
      <c r="Q57" s="713">
        <v>3597737.7144084028</v>
      </c>
      <c r="R57" s="713">
        <f>L57+M57+N57+O57+P57+Q57</f>
        <v>23032605.14218672</v>
      </c>
      <c r="S57" s="713"/>
      <c r="T57" s="713">
        <v>0</v>
      </c>
      <c r="U57" s="713"/>
      <c r="V57" s="713">
        <f>R57</f>
        <v>23032605.14218672</v>
      </c>
      <c r="W57" s="712"/>
      <c r="X57" s="712"/>
      <c r="Y57" s="485"/>
      <c r="Z57" s="485"/>
      <c r="AA57" s="485"/>
      <c r="AB57" s="485"/>
      <c r="AC57" s="485"/>
      <c r="AD57" s="485"/>
      <c r="AE57" s="485"/>
      <c r="AF57" s="485"/>
      <c r="AG57" s="485"/>
      <c r="AH57" s="485"/>
      <c r="AI57" s="485"/>
      <c r="AJ57" s="485"/>
      <c r="AK57" s="485"/>
      <c r="AL57" s="485"/>
      <c r="AM57" s="485"/>
      <c r="AN57" s="485"/>
      <c r="AO57" s="485"/>
      <c r="AP57" s="485"/>
      <c r="AQ57" s="485"/>
      <c r="AR57" s="485"/>
      <c r="AS57" s="485"/>
      <c r="AT57" s="485"/>
      <c r="AU57" s="485"/>
      <c r="AV57" s="485"/>
      <c r="AW57" s="485"/>
      <c r="AX57" s="485"/>
      <c r="AY57" s="485"/>
      <c r="AZ57" s="485"/>
      <c r="BA57" s="485"/>
      <c r="BB57" s="485"/>
    </row>
    <row r="58" spans="1:54" ht="13.5" customHeight="1">
      <c r="A58" s="652"/>
      <c r="B58" s="711" t="s">
        <v>221</v>
      </c>
      <c r="C58" s="554" t="s">
        <v>429</v>
      </c>
      <c r="D58" s="519" t="s">
        <v>205</v>
      </c>
      <c r="E58" s="518" t="s">
        <v>349</v>
      </c>
      <c r="F58" s="517" t="s">
        <v>207</v>
      </c>
      <c r="G58" s="516">
        <f>G57+1</f>
        <v>48</v>
      </c>
      <c r="H58" s="515" t="s">
        <v>369</v>
      </c>
      <c r="I58" s="515">
        <v>6</v>
      </c>
      <c r="J58" s="707">
        <v>19400</v>
      </c>
      <c r="K58" s="707">
        <f>J58*I58</f>
        <v>116400</v>
      </c>
      <c r="L58" s="707">
        <f>J58</f>
        <v>19400</v>
      </c>
      <c r="M58" s="707">
        <f>J58</f>
        <v>19400</v>
      </c>
      <c r="N58" s="707">
        <f>J58</f>
        <v>19400</v>
      </c>
      <c r="O58" s="707">
        <f>J58</f>
        <v>19400</v>
      </c>
      <c r="P58" s="707">
        <f>J58</f>
        <v>19400</v>
      </c>
      <c r="Q58" s="707">
        <f>J58</f>
        <v>19400</v>
      </c>
      <c r="R58" s="707">
        <f>L58+M58+N58+O58+P58+Q58</f>
        <v>116400</v>
      </c>
      <c r="S58" s="707">
        <v>0</v>
      </c>
      <c r="T58" s="707"/>
      <c r="U58" s="707">
        <f>R58</f>
        <v>116400</v>
      </c>
      <c r="V58" s="707"/>
      <c r="W58" s="704"/>
      <c r="X58" s="704"/>
    </row>
    <row r="59" spans="1:54" ht="14.45" customHeight="1">
      <c r="A59" s="652"/>
      <c r="B59" s="651"/>
      <c r="C59" s="554" t="s">
        <v>428</v>
      </c>
      <c r="D59" s="519" t="s">
        <v>205</v>
      </c>
      <c r="E59" s="518" t="s">
        <v>349</v>
      </c>
      <c r="F59" s="517" t="s">
        <v>207</v>
      </c>
      <c r="G59" s="516">
        <f>G58+1</f>
        <v>49</v>
      </c>
      <c r="H59" s="515" t="s">
        <v>369</v>
      </c>
      <c r="I59" s="515">
        <v>6</v>
      </c>
      <c r="J59" s="707">
        <v>18240</v>
      </c>
      <c r="K59" s="707">
        <f>J59*I59</f>
        <v>109440</v>
      </c>
      <c r="L59" s="707">
        <f>J59</f>
        <v>18240</v>
      </c>
      <c r="M59" s="707">
        <v>18240</v>
      </c>
      <c r="N59" s="707">
        <v>18240</v>
      </c>
      <c r="O59" s="707">
        <v>18240</v>
      </c>
      <c r="P59" s="707">
        <v>18240</v>
      </c>
      <c r="Q59" s="707">
        <v>18240</v>
      </c>
      <c r="R59" s="707">
        <f>L59+M59+N59+O59+P59+Q59</f>
        <v>109440</v>
      </c>
      <c r="S59" s="707">
        <v>0</v>
      </c>
      <c r="T59" s="707"/>
      <c r="U59" s="707">
        <f>R59</f>
        <v>109440</v>
      </c>
      <c r="V59" s="707"/>
      <c r="W59" s="704"/>
      <c r="X59" s="704"/>
    </row>
    <row r="60" spans="1:54" ht="14.45" customHeight="1">
      <c r="A60" s="652"/>
      <c r="B60" s="651"/>
      <c r="C60" s="554" t="s">
        <v>427</v>
      </c>
      <c r="D60" s="519" t="s">
        <v>205</v>
      </c>
      <c r="E60" s="518" t="s">
        <v>349</v>
      </c>
      <c r="F60" s="517" t="s">
        <v>207</v>
      </c>
      <c r="G60" s="516">
        <f>G59+1</f>
        <v>50</v>
      </c>
      <c r="H60" s="515" t="s">
        <v>369</v>
      </c>
      <c r="I60" s="515">
        <v>6</v>
      </c>
      <c r="J60" s="707">
        <v>15800</v>
      </c>
      <c r="K60" s="707">
        <f>J60*I60</f>
        <v>94800</v>
      </c>
      <c r="L60" s="707">
        <f>J60</f>
        <v>15800</v>
      </c>
      <c r="M60" s="707">
        <f>J60</f>
        <v>15800</v>
      </c>
      <c r="N60" s="707">
        <f>J60</f>
        <v>15800</v>
      </c>
      <c r="O60" s="707">
        <f>J60</f>
        <v>15800</v>
      </c>
      <c r="P60" s="707">
        <f>J60</f>
        <v>15800</v>
      </c>
      <c r="Q60" s="707">
        <f>J60</f>
        <v>15800</v>
      </c>
      <c r="R60" s="707">
        <f>L60+M60+N60+O60+P60+Q60</f>
        <v>94800</v>
      </c>
      <c r="S60" s="707">
        <v>0</v>
      </c>
      <c r="T60" s="707"/>
      <c r="U60" s="707">
        <f>R60</f>
        <v>94800</v>
      </c>
      <c r="V60" s="707"/>
      <c r="W60" s="704"/>
      <c r="X60" s="704"/>
    </row>
    <row r="61" spans="1:54" ht="14.45" customHeight="1">
      <c r="A61" s="652"/>
      <c r="B61" s="651"/>
      <c r="C61" s="554" t="s">
        <v>426</v>
      </c>
      <c r="D61" s="519" t="s">
        <v>205</v>
      </c>
      <c r="E61" s="518" t="s">
        <v>349</v>
      </c>
      <c r="F61" s="517" t="s">
        <v>207</v>
      </c>
      <c r="G61" s="516">
        <f>G60+1</f>
        <v>51</v>
      </c>
      <c r="H61" s="515" t="s">
        <v>369</v>
      </c>
      <c r="I61" s="515">
        <v>12</v>
      </c>
      <c r="J61" s="707">
        <v>15020</v>
      </c>
      <c r="K61" s="707">
        <f>J61*I61</f>
        <v>180240</v>
      </c>
      <c r="L61" s="707">
        <f>$J$61*2</f>
        <v>30040</v>
      </c>
      <c r="M61" s="707">
        <f>$J$61*2</f>
        <v>30040</v>
      </c>
      <c r="N61" s="707">
        <f>$J$61*2</f>
        <v>30040</v>
      </c>
      <c r="O61" s="707">
        <f>$J$61*2</f>
        <v>30040</v>
      </c>
      <c r="P61" s="707">
        <f>$J$61*2</f>
        <v>30040</v>
      </c>
      <c r="Q61" s="707">
        <f>$J$61*2</f>
        <v>30040</v>
      </c>
      <c r="R61" s="707">
        <f>L61+M61+N61+O61+P61+Q61</f>
        <v>180240</v>
      </c>
      <c r="S61" s="707">
        <v>0</v>
      </c>
      <c r="T61" s="707"/>
      <c r="U61" s="707">
        <f>R61</f>
        <v>180240</v>
      </c>
      <c r="V61" s="707"/>
      <c r="W61" s="710"/>
      <c r="X61" s="704"/>
    </row>
    <row r="62" spans="1:54" ht="14.45" customHeight="1">
      <c r="A62" s="652"/>
      <c r="B62" s="651"/>
      <c r="C62" s="554" t="s">
        <v>425</v>
      </c>
      <c r="D62" s="519" t="s">
        <v>205</v>
      </c>
      <c r="E62" s="518" t="s">
        <v>349</v>
      </c>
      <c r="F62" s="517" t="s">
        <v>207</v>
      </c>
      <c r="G62" s="516">
        <f>G61+1</f>
        <v>52</v>
      </c>
      <c r="H62" s="515" t="s">
        <v>369</v>
      </c>
      <c r="I62" s="515">
        <v>6</v>
      </c>
      <c r="J62" s="707">
        <v>15000</v>
      </c>
      <c r="K62" s="707">
        <f>J62*I62</f>
        <v>90000</v>
      </c>
      <c r="L62" s="707">
        <f>$J$62</f>
        <v>15000</v>
      </c>
      <c r="M62" s="707">
        <f>$J$62</f>
        <v>15000</v>
      </c>
      <c r="N62" s="707">
        <f>$J$62</f>
        <v>15000</v>
      </c>
      <c r="O62" s="707">
        <f>$J$62</f>
        <v>15000</v>
      </c>
      <c r="P62" s="707">
        <f>$J$62</f>
        <v>15000</v>
      </c>
      <c r="Q62" s="707">
        <f>$J$62</f>
        <v>15000</v>
      </c>
      <c r="R62" s="707">
        <f>L62+M62+N62+O62+P62+Q62</f>
        <v>90000</v>
      </c>
      <c r="S62" s="707"/>
      <c r="T62" s="707"/>
      <c r="U62" s="707">
        <f>R62</f>
        <v>90000</v>
      </c>
      <c r="V62" s="707"/>
      <c r="W62" s="710"/>
      <c r="X62" s="704"/>
    </row>
    <row r="63" spans="1:54">
      <c r="A63" s="652"/>
      <c r="B63" s="651"/>
      <c r="C63" s="554" t="s">
        <v>220</v>
      </c>
      <c r="D63" s="519" t="s">
        <v>205</v>
      </c>
      <c r="E63" s="518" t="s">
        <v>349</v>
      </c>
      <c r="F63" s="517" t="s">
        <v>207</v>
      </c>
      <c r="G63" s="516">
        <f>G62+1</f>
        <v>53</v>
      </c>
      <c r="H63" s="515" t="s">
        <v>369</v>
      </c>
      <c r="I63" s="515">
        <v>6</v>
      </c>
      <c r="J63" s="707">
        <v>4600</v>
      </c>
      <c r="K63" s="707">
        <f>J63*I63</f>
        <v>27600</v>
      </c>
      <c r="L63" s="707">
        <f>J63</f>
        <v>4600</v>
      </c>
      <c r="M63" s="707">
        <f>J63</f>
        <v>4600</v>
      </c>
      <c r="N63" s="707">
        <f>J63</f>
        <v>4600</v>
      </c>
      <c r="O63" s="707">
        <f>J63</f>
        <v>4600</v>
      </c>
      <c r="P63" s="707">
        <f>J63</f>
        <v>4600</v>
      </c>
      <c r="Q63" s="707">
        <f>J63</f>
        <v>4600</v>
      </c>
      <c r="R63" s="707">
        <f>L63+M63+N63+O63+P63+Q63</f>
        <v>27600</v>
      </c>
      <c r="S63" s="707">
        <v>0</v>
      </c>
      <c r="T63" s="707"/>
      <c r="U63" s="707">
        <f>R63</f>
        <v>27600</v>
      </c>
      <c r="V63" s="707"/>
      <c r="W63" s="704"/>
      <c r="X63" s="704"/>
    </row>
    <row r="64" spans="1:54" ht="14.45" customHeight="1">
      <c r="A64" s="652"/>
      <c r="B64" s="672" t="s">
        <v>219</v>
      </c>
      <c r="C64" s="709" t="s">
        <v>372</v>
      </c>
      <c r="D64" s="519" t="s">
        <v>205</v>
      </c>
      <c r="E64" s="518" t="s">
        <v>349</v>
      </c>
      <c r="F64" s="517" t="s">
        <v>207</v>
      </c>
      <c r="G64" s="516">
        <f>G63+1</f>
        <v>54</v>
      </c>
      <c r="H64" s="515" t="s">
        <v>369</v>
      </c>
      <c r="I64" s="515">
        <v>6</v>
      </c>
      <c r="J64" s="707">
        <f>(K64/I64)</f>
        <v>23782.002514578799</v>
      </c>
      <c r="K64" s="707">
        <v>142692.0150874728</v>
      </c>
      <c r="L64" s="707">
        <v>23078.470553600004</v>
      </c>
      <c r="M64" s="707">
        <v>23355.412200243201</v>
      </c>
      <c r="N64" s="707">
        <v>23635.677146646121</v>
      </c>
      <c r="O64" s="707">
        <v>23919.305272405876</v>
      </c>
      <c r="P64" s="707">
        <v>24206.336935674743</v>
      </c>
      <c r="Q64" s="707">
        <v>24496.812978902843</v>
      </c>
      <c r="R64" s="707">
        <f>L64+M64+N64+O64+P64+Q64</f>
        <v>142692.0150874728</v>
      </c>
      <c r="S64" s="707">
        <v>0</v>
      </c>
      <c r="T64" s="707"/>
      <c r="U64" s="707">
        <f>R64</f>
        <v>142692.0150874728</v>
      </c>
      <c r="V64" s="707"/>
      <c r="W64" s="704"/>
      <c r="X64" s="704"/>
    </row>
    <row r="65" spans="1:54">
      <c r="A65" s="652"/>
      <c r="B65" s="708"/>
      <c r="C65" s="709" t="s">
        <v>371</v>
      </c>
      <c r="D65" s="519" t="s">
        <v>205</v>
      </c>
      <c r="E65" s="518" t="s">
        <v>349</v>
      </c>
      <c r="F65" s="517" t="s">
        <v>207</v>
      </c>
      <c r="G65" s="516">
        <f>G64+1</f>
        <v>55</v>
      </c>
      <c r="H65" s="515" t="s">
        <v>369</v>
      </c>
      <c r="I65" s="515">
        <v>6</v>
      </c>
      <c r="J65" s="707">
        <f>(K65/I65)</f>
        <v>113333</v>
      </c>
      <c r="K65" s="707">
        <v>679998</v>
      </c>
      <c r="L65" s="707">
        <v>113333</v>
      </c>
      <c r="M65" s="707">
        <v>113333</v>
      </c>
      <c r="N65" s="707">
        <v>113333</v>
      </c>
      <c r="O65" s="707">
        <v>113333</v>
      </c>
      <c r="P65" s="707">
        <v>113333</v>
      </c>
      <c r="Q65" s="707">
        <v>113333</v>
      </c>
      <c r="R65" s="707">
        <f>L65+M65+N65+O65+P65+Q65</f>
        <v>679998</v>
      </c>
      <c r="S65" s="707">
        <v>0</v>
      </c>
      <c r="T65" s="707"/>
      <c r="U65" s="707">
        <f>R65</f>
        <v>679998</v>
      </c>
      <c r="V65" s="707"/>
      <c r="W65" s="704"/>
      <c r="X65" s="704"/>
    </row>
    <row r="66" spans="1:54" ht="14.45" customHeight="1">
      <c r="A66" s="652"/>
      <c r="B66" s="708"/>
      <c r="C66" s="709" t="s">
        <v>370</v>
      </c>
      <c r="D66" s="519" t="s">
        <v>205</v>
      </c>
      <c r="E66" s="518" t="s">
        <v>349</v>
      </c>
      <c r="F66" s="517" t="s">
        <v>207</v>
      </c>
      <c r="G66" s="516">
        <f>G65+1</f>
        <v>56</v>
      </c>
      <c r="H66" s="515" t="s">
        <v>369</v>
      </c>
      <c r="I66" s="515">
        <v>6</v>
      </c>
      <c r="J66" s="707">
        <v>83333.333333333328</v>
      </c>
      <c r="K66" s="707">
        <v>500000</v>
      </c>
      <c r="L66" s="707">
        <f>+J66</f>
        <v>83333.333333333328</v>
      </c>
      <c r="M66" s="707">
        <f>+J66</f>
        <v>83333.333333333328</v>
      </c>
      <c r="N66" s="707">
        <f>+J66</f>
        <v>83333.333333333328</v>
      </c>
      <c r="O66" s="707">
        <f>+J66</f>
        <v>83333.333333333328</v>
      </c>
      <c r="P66" s="707">
        <f>+J66</f>
        <v>83333.333333333328</v>
      </c>
      <c r="Q66" s="707">
        <f>+J66</f>
        <v>83333.333333333328</v>
      </c>
      <c r="R66" s="707">
        <f>L66+M66+N66+O66+P66+Q66</f>
        <v>499999.99999999994</v>
      </c>
      <c r="S66" s="707">
        <v>0</v>
      </c>
      <c r="T66" s="707"/>
      <c r="U66" s="707">
        <f>R66</f>
        <v>499999.99999999994</v>
      </c>
      <c r="V66" s="707"/>
      <c r="W66" s="704"/>
      <c r="X66" s="704"/>
    </row>
    <row r="67" spans="1:54">
      <c r="A67" s="652"/>
      <c r="B67" s="708"/>
      <c r="C67" s="556" t="s">
        <v>209</v>
      </c>
      <c r="D67" s="519" t="s">
        <v>205</v>
      </c>
      <c r="E67" s="518" t="s">
        <v>349</v>
      </c>
      <c r="F67" s="517" t="s">
        <v>207</v>
      </c>
      <c r="G67" s="516">
        <f>G66+1</f>
        <v>57</v>
      </c>
      <c r="H67" s="515" t="s">
        <v>369</v>
      </c>
      <c r="I67" s="515">
        <v>6</v>
      </c>
      <c r="J67" s="707">
        <f>(K67/I67)</f>
        <v>5822.1075469858779</v>
      </c>
      <c r="K67" s="707">
        <v>34932.645281915269</v>
      </c>
      <c r="L67" s="707">
        <v>5709.0399103999998</v>
      </c>
      <c r="M67" s="707">
        <v>5753.5483893248002</v>
      </c>
      <c r="N67" s="707">
        <v>5798.5909699966996</v>
      </c>
      <c r="O67" s="707">
        <v>5844.1740616366596</v>
      </c>
      <c r="P67" s="707">
        <v>5890.3041503763006</v>
      </c>
      <c r="Q67" s="707">
        <v>5936.9878001808102</v>
      </c>
      <c r="R67" s="707">
        <f>L67+M67+N67+O67+P67+Q67</f>
        <v>34932.645281915269</v>
      </c>
      <c r="S67" s="707">
        <v>0</v>
      </c>
      <c r="T67" s="707"/>
      <c r="U67" s="707">
        <f>R67</f>
        <v>34932.645281915269</v>
      </c>
      <c r="V67" s="707"/>
      <c r="W67" s="704"/>
      <c r="X67" s="704"/>
    </row>
    <row r="68" spans="1:54">
      <c r="A68" s="652"/>
      <c r="B68" s="708"/>
      <c r="C68" s="554" t="s">
        <v>208</v>
      </c>
      <c r="D68" s="519" t="s">
        <v>205</v>
      </c>
      <c r="E68" s="518" t="s">
        <v>349</v>
      </c>
      <c r="F68" s="517" t="s">
        <v>207</v>
      </c>
      <c r="G68" s="516">
        <f>G67+1</f>
        <v>58</v>
      </c>
      <c r="H68" s="515" t="s">
        <v>369</v>
      </c>
      <c r="I68" s="515">
        <v>6</v>
      </c>
      <c r="J68" s="707">
        <f>(K68/I68)</f>
        <v>2548.0716979905851</v>
      </c>
      <c r="K68" s="707">
        <v>15288.430187943512</v>
      </c>
      <c r="L68" s="707">
        <v>2472.6932736000003</v>
      </c>
      <c r="M68" s="707">
        <v>2502.3655928832004</v>
      </c>
      <c r="N68" s="707">
        <v>2532.3939799977984</v>
      </c>
      <c r="O68" s="707">
        <v>2562.7827077577722</v>
      </c>
      <c r="P68" s="707">
        <v>2593.5361002508648</v>
      </c>
      <c r="Q68" s="707">
        <v>2624.6585334538759</v>
      </c>
      <c r="R68" s="707">
        <f>L68+M68+N68+O68+P68+Q68</f>
        <v>15288.430187943512</v>
      </c>
      <c r="S68" s="707">
        <v>0</v>
      </c>
      <c r="T68" s="707"/>
      <c r="U68" s="707">
        <f>R68</f>
        <v>15288.430187943512</v>
      </c>
      <c r="V68" s="707"/>
      <c r="W68" s="704"/>
      <c r="X68" s="704"/>
    </row>
    <row r="69" spans="1:54">
      <c r="A69" s="652"/>
      <c r="B69" s="556" t="s">
        <v>424</v>
      </c>
      <c r="C69" s="554" t="s">
        <v>423</v>
      </c>
      <c r="D69" s="519" t="s">
        <v>205</v>
      </c>
      <c r="E69" s="518" t="s">
        <v>349</v>
      </c>
      <c r="F69" s="517" t="s">
        <v>207</v>
      </c>
      <c r="G69" s="516">
        <f>G68+1</f>
        <v>59</v>
      </c>
      <c r="H69" s="515" t="s">
        <v>369</v>
      </c>
      <c r="I69" s="515">
        <v>6</v>
      </c>
      <c r="J69" s="707">
        <f>(K69/I69)</f>
        <v>16666.666666666668</v>
      </c>
      <c r="K69" s="707">
        <v>100000.00000000001</v>
      </c>
      <c r="L69" s="707">
        <v>16666.666666666668</v>
      </c>
      <c r="M69" s="707">
        <v>16666.666666666668</v>
      </c>
      <c r="N69" s="707">
        <v>16666.666666666668</v>
      </c>
      <c r="O69" s="707">
        <v>16666.666666666668</v>
      </c>
      <c r="P69" s="707">
        <v>16666.666666666668</v>
      </c>
      <c r="Q69" s="707">
        <v>16666.666666666668</v>
      </c>
      <c r="R69" s="707">
        <f>L69+M69+N69+O69+P69+Q69</f>
        <v>100000.00000000001</v>
      </c>
      <c r="S69" s="707">
        <v>0</v>
      </c>
      <c r="T69" s="707"/>
      <c r="U69" s="707">
        <f>R69</f>
        <v>100000.00000000001</v>
      </c>
      <c r="V69" s="707"/>
      <c r="W69" s="706" t="s">
        <v>368</v>
      </c>
      <c r="X69" s="706" t="s">
        <v>367</v>
      </c>
    </row>
    <row r="70" spans="1:54" s="506" customFormat="1">
      <c r="A70" s="649"/>
      <c r="B70" s="514" t="s">
        <v>366</v>
      </c>
      <c r="C70" s="514"/>
      <c r="D70" s="512"/>
      <c r="E70" s="512"/>
      <c r="F70" s="513"/>
      <c r="G70" s="513"/>
      <c r="H70" s="512"/>
      <c r="I70" s="512"/>
      <c r="J70" s="512"/>
      <c r="K70" s="705">
        <f>SUM(K52:K69)</f>
        <v>26020896.274600055</v>
      </c>
      <c r="L70" s="705">
        <f>SUM(L52:L69)</f>
        <v>3919009.5015085661</v>
      </c>
      <c r="M70" s="705">
        <f>SUM(M52:M69)</f>
        <v>4454899.1870792806</v>
      </c>
      <c r="N70" s="705">
        <f>SUM(N52:N69)</f>
        <v>4418024.2238807362</v>
      </c>
      <c r="O70" s="705">
        <f>SUM(O52:O69)</f>
        <v>4421640.6265401011</v>
      </c>
      <c r="P70" s="705">
        <f>SUM(P52:P69)</f>
        <v>4410363.5618704287</v>
      </c>
      <c r="Q70" s="705">
        <f>SUM(Q52:Q69)</f>
        <v>4396959.1737209409</v>
      </c>
      <c r="R70" s="705">
        <f>L70+M70+N70+O70+P70+Q70</f>
        <v>26020896.274600055</v>
      </c>
      <c r="S70" s="705">
        <f>SUM(S52:S69)</f>
        <v>0</v>
      </c>
      <c r="T70" s="705">
        <f>SUM(T52:T69)</f>
        <v>0</v>
      </c>
      <c r="U70" s="705">
        <f>SUM(U52:U69)</f>
        <v>2988291.132413331</v>
      </c>
      <c r="V70" s="705">
        <f>SUM(V52:V69)</f>
        <v>23032605.14218672</v>
      </c>
      <c r="W70" s="704">
        <f>S70+U70</f>
        <v>2988291.132413331</v>
      </c>
      <c r="X70" s="704">
        <f>T70+V70</f>
        <v>23032605.14218672</v>
      </c>
      <c r="Y70" s="485"/>
      <c r="Z70" s="485"/>
      <c r="AA70" s="485"/>
      <c r="AB70" s="485"/>
      <c r="AC70" s="485"/>
      <c r="AD70" s="485"/>
      <c r="AE70" s="485"/>
      <c r="AF70" s="485"/>
      <c r="AG70" s="485"/>
      <c r="AH70" s="485"/>
      <c r="AI70" s="485"/>
      <c r="AJ70" s="485"/>
      <c r="AK70" s="485"/>
      <c r="AL70" s="485"/>
      <c r="AM70" s="485"/>
      <c r="AN70" s="485"/>
      <c r="AO70" s="485"/>
      <c r="AP70" s="485"/>
      <c r="AQ70" s="485"/>
      <c r="AR70" s="485"/>
      <c r="AS70" s="485"/>
      <c r="AT70" s="485"/>
      <c r="AU70" s="485"/>
      <c r="AV70" s="485"/>
      <c r="AW70" s="485"/>
      <c r="AX70" s="485"/>
      <c r="AY70" s="485"/>
      <c r="AZ70" s="485"/>
      <c r="BA70" s="485"/>
      <c r="BB70" s="485"/>
    </row>
    <row r="71" spans="1:54" s="506" customFormat="1">
      <c r="A71" s="510" t="s">
        <v>365</v>
      </c>
      <c r="B71" s="510"/>
      <c r="C71" s="510"/>
      <c r="D71" s="510"/>
      <c r="E71" s="510"/>
      <c r="F71" s="511"/>
      <c r="G71" s="511"/>
      <c r="H71" s="510"/>
      <c r="I71" s="510"/>
      <c r="J71" s="510"/>
      <c r="K71" s="509">
        <f>K70+K51+K40+K32</f>
        <v>150847443.99329549</v>
      </c>
      <c r="L71" s="509">
        <f>L70+L51+L40+L32</f>
        <v>20294798.218668282</v>
      </c>
      <c r="M71" s="509">
        <f>M70+M51+M40+M32</f>
        <v>29416127.541065976</v>
      </c>
      <c r="N71" s="509">
        <f>N70+N51+N40+N32</f>
        <v>29515147.615034096</v>
      </c>
      <c r="O71" s="509">
        <f>O70+O51+O40+O32</f>
        <v>27014618.093888689</v>
      </c>
      <c r="P71" s="509">
        <f>P70+P51+P40+P32</f>
        <v>25130670.496776175</v>
      </c>
      <c r="Q71" s="509">
        <f>Q70+Q51+Q40+Q32</f>
        <v>19476082.027862288</v>
      </c>
      <c r="R71" s="509">
        <f>L71+M71+N71+O71+P71+Q71</f>
        <v>150847443.99329549</v>
      </c>
      <c r="S71" s="508"/>
      <c r="T71" s="508"/>
      <c r="U71" s="508"/>
      <c r="V71" s="508"/>
      <c r="W71" s="507"/>
      <c r="X71" s="507"/>
    </row>
    <row r="72" spans="1:54" s="506" customFormat="1">
      <c r="A72" s="510" t="s">
        <v>364</v>
      </c>
      <c r="B72" s="510"/>
      <c r="C72" s="510"/>
      <c r="D72" s="510"/>
      <c r="E72" s="510"/>
      <c r="F72" s="511"/>
      <c r="G72" s="511"/>
      <c r="H72" s="510"/>
      <c r="I72" s="510"/>
      <c r="J72" s="510"/>
      <c r="K72" s="509">
        <f>K71-K73</f>
        <v>53861003.146673918</v>
      </c>
      <c r="L72" s="509">
        <f>L71-L73</f>
        <v>3961378.7214368843</v>
      </c>
      <c r="M72" s="509">
        <f>M71-M73</f>
        <v>12284769.236257948</v>
      </c>
      <c r="N72" s="509">
        <f>N71-N73</f>
        <v>12665154.483890321</v>
      </c>
      <c r="O72" s="509">
        <f>O71-O73</f>
        <v>10744458.839720583</v>
      </c>
      <c r="P72" s="509">
        <f>P71-P73</f>
        <v>8316722.3158272021</v>
      </c>
      <c r="Q72" s="509">
        <f>Q71-Q73</f>
        <v>5888519.5495410189</v>
      </c>
      <c r="R72" s="509">
        <f>L72+M72+N72+O72+P72+Q72</f>
        <v>53861003.146673955</v>
      </c>
      <c r="S72" s="508">
        <f>S70+S51+S40+S32</f>
        <v>12815705.377349295</v>
      </c>
      <c r="T72" s="508"/>
      <c r="U72" s="508">
        <f>U70+U51+U40+U32</f>
        <v>41045297.769324645</v>
      </c>
      <c r="V72" s="508"/>
      <c r="W72" s="507"/>
      <c r="X72" s="507"/>
    </row>
    <row r="73" spans="1:54" s="506" customFormat="1">
      <c r="A73" s="510" t="s">
        <v>363</v>
      </c>
      <c r="B73" s="510"/>
      <c r="C73" s="510"/>
      <c r="D73" s="510"/>
      <c r="E73" s="510"/>
      <c r="F73" s="511"/>
      <c r="G73" s="511"/>
      <c r="H73" s="510"/>
      <c r="I73" s="510"/>
      <c r="J73" s="510"/>
      <c r="K73" s="509">
        <f xml:space="preserve"> SUM(K57,K44:K45,K35:K36,K5:K6,K27:K28)</f>
        <v>96986440.846621573</v>
      </c>
      <c r="L73" s="509">
        <f xml:space="preserve"> SUM(L57,L44:L45,L35:L36,L5:L6,L27:L28)</f>
        <v>16333419.497231398</v>
      </c>
      <c r="M73" s="509">
        <f xml:space="preserve"> SUM(M57,M44:M45,M35:M36,M5:M6,M27:M28)</f>
        <v>17131358.304808028</v>
      </c>
      <c r="N73" s="509">
        <f xml:space="preserve"> SUM(N57,N44:N45,N35:N36,N5:N6,N27:N28)</f>
        <v>16849993.131143775</v>
      </c>
      <c r="O73" s="509">
        <f xml:space="preserve"> SUM(O57,O44:O45,O35:O36,O5:O6,O27:O28)</f>
        <v>16270159.254168106</v>
      </c>
      <c r="P73" s="509">
        <f xml:space="preserve"> SUM(P57,P44:P45,P35:P36,P5:P6,P27:P28)</f>
        <v>16813948.180948973</v>
      </c>
      <c r="Q73" s="509">
        <f xml:space="preserve"> SUM(Q57,Q44:Q45,Q35:Q36,Q5:Q6,Q27:Q28)</f>
        <v>13587562.478321269</v>
      </c>
      <c r="R73" s="509">
        <f>L73+M73+N73+O73+P73+Q73</f>
        <v>96986440.846621558</v>
      </c>
      <c r="S73" s="508"/>
      <c r="T73" s="508">
        <f>T70+T51+T40+T32</f>
        <v>59552898.022265293</v>
      </c>
      <c r="U73" s="508"/>
      <c r="V73" s="508">
        <f>V70+V51+V40+V32</f>
        <v>37433542.824356258</v>
      </c>
      <c r="W73" s="507"/>
      <c r="X73" s="507"/>
    </row>
    <row r="74" spans="1:54">
      <c r="J74" s="505"/>
    </row>
    <row r="75" spans="1:54">
      <c r="K75" s="493"/>
      <c r="L75" s="703"/>
      <c r="M75" s="703"/>
      <c r="N75" s="703"/>
      <c r="O75" s="703"/>
      <c r="P75" s="703"/>
      <c r="Q75" s="703"/>
      <c r="S75" s="504"/>
      <c r="T75" s="493"/>
      <c r="U75" s="493"/>
      <c r="V75" s="493"/>
    </row>
    <row r="76" spans="1:54">
      <c r="A76" s="487" t="s">
        <v>362</v>
      </c>
      <c r="Q76" s="502"/>
      <c r="R76" s="702"/>
      <c r="S76" s="503"/>
      <c r="T76" s="503"/>
      <c r="U76" s="502"/>
      <c r="V76" s="503"/>
      <c r="W76" s="501"/>
      <c r="X76" s="501"/>
    </row>
    <row r="78" spans="1:54">
      <c r="K78" s="494" t="s">
        <v>361</v>
      </c>
      <c r="L78" s="701">
        <f>L2+L3+L21</f>
        <v>594596</v>
      </c>
      <c r="M78" s="701">
        <f>M2+M3+M21</f>
        <v>3862837.7924497649</v>
      </c>
      <c r="N78" s="701">
        <f>N2+N3+N21</f>
        <v>3591596</v>
      </c>
      <c r="O78" s="701">
        <f>O2+O3+O21</f>
        <v>2818837.7924497649</v>
      </c>
      <c r="P78" s="701">
        <f>P2+P3+P21</f>
        <v>1947837.7924497649</v>
      </c>
      <c r="Q78" s="700">
        <f>Q2+Q3+Q21</f>
        <v>0</v>
      </c>
      <c r="R78" s="701">
        <f>R2+R3+R21</f>
        <v>12815705.377349295</v>
      </c>
      <c r="S78" s="701">
        <f>S2+S3+S21</f>
        <v>12815705.377349295</v>
      </c>
      <c r="T78" s="701">
        <f>T2+T3+T21</f>
        <v>0</v>
      </c>
      <c r="U78" s="701">
        <f>U2+U3+U21</f>
        <v>0</v>
      </c>
      <c r="V78" s="700">
        <f>V2+V3+V21</f>
        <v>0</v>
      </c>
      <c r="W78" s="493"/>
      <c r="X78" s="493"/>
    </row>
    <row r="79" spans="1:54">
      <c r="K79" s="491" t="s">
        <v>360</v>
      </c>
      <c r="L79" s="697">
        <f>L4+(SUM(L7:L15)+SUM(L17:L20)+SUM(L22:L26)+SUM(L29:L30)+SUM(L33:L34)+L38+SUM(L41:L43)+SUM(L46:L49)+SUM(L52:L56)+SUM(L58:L69))</f>
        <v>3366782.7214368787</v>
      </c>
      <c r="M79" s="697">
        <f>M4+(SUM(M7:M15)+SUM(M17:M20)+SUM(M22:M26)+SUM(M29:M30)+SUM(M33:M34)+M38+SUM(M41:M43)+SUM(M46:M49)+SUM(M52:M56)+SUM(M58:M69))</f>
        <v>8421931.4438081831</v>
      </c>
      <c r="N79" s="697">
        <f>N4+(SUM(N7:N15)+SUM(N17:N20)+SUM(N22:N26)+SUM(N29:N30)+SUM(N33:N34)+N38+SUM(N41:N43)+SUM(N46:N49)+SUM(N52:N56)+SUM(N58:N69))</f>
        <v>9073558.4838903174</v>
      </c>
      <c r="O79" s="697">
        <f>O4+(SUM(O7:O15)+SUM(O17:O20)+SUM(O22:O26)+SUM(O29:O30)+SUM(O33:O34)+O38+SUM(O41:O43)+SUM(O46:O49)+SUM(O52:O56)+SUM(O58:O69))</f>
        <v>7925621.0472708186</v>
      </c>
      <c r="P79" s="697">
        <f>P4+(SUM(P7:P15)+SUM(P17:P20)+SUM(P22:P26)+SUM(P29:P30)+SUM(P33:P34)+P38+SUM(P41:P43)+SUM(P46:P49)+SUM(P52:P56)+SUM(P58:P69))</f>
        <v>6368884.5233774334</v>
      </c>
      <c r="Q79" s="696">
        <f>Q4+(SUM(Q7:Q15)+SUM(Q17:Q20)+SUM(Q22:Q26)+SUM(Q29:Q30)+SUM(Q33:Q34)+Q38+SUM(Q41:Q43)+SUM(Q46:Q49)+SUM(Q52:Q56)+SUM(Q58:Q69))</f>
        <v>5888519.549541018</v>
      </c>
      <c r="R79" s="699">
        <f>R4+(SUM(R7:R15)+SUM(R17:R20)+SUM(R22:R23)+SUM(R29:R30)+SUM(R33:R34)+R38+SUM(R41:R43)+SUM(R46:R49)+SUM(R52:R56)+SUM(R58:R69))</f>
        <v>24810746.038863894</v>
      </c>
      <c r="S79" s="699">
        <f>S4+(SUM(S7:S15)+SUM(S17:S20)+SUM(S22:S23)+SUM(S29:S30)+SUM(S33:S34)+S38+SUM(S41:S43)+SUM(S46:S49)+SUM(S52:S56)+SUM(S58:S69))</f>
        <v>0</v>
      </c>
      <c r="T79" s="699">
        <f>T4+(SUM(T7:T15)+SUM(T17:T20)+SUM(T22:T23)+SUM(T29:T30)+SUM(T33:T34)+T38+SUM(T41:T43)+SUM(T46:T49)+SUM(T52:T56)+SUM(T58:T69))</f>
        <v>0</v>
      </c>
      <c r="U79" s="699">
        <f>U4+(SUM(U7:U15)+SUM(U17:U20)+SUM(U22:U23)+SUM(U29:U30)+SUM(U33:U34)+U38+SUM(U41:U43)+SUM(U46:U49)+SUM(U52:U56)+SUM(U58:U69))</f>
        <v>24810746.038863894</v>
      </c>
      <c r="V79" s="698">
        <f>V4+(SUM(V7:V15)+SUM(V17:V20)+SUM(V22:V23)+SUM(V29:V30)+SUM(V33:V34)+V38+SUM(V41:V43)+SUM(V46:V49)+SUM(V52:V56)+SUM(V58:V69))</f>
        <v>0</v>
      </c>
    </row>
    <row r="80" spans="1:54">
      <c r="K80" s="491" t="s">
        <v>359</v>
      </c>
      <c r="L80" s="697">
        <f>L5+L6+L27+L35+L36+L45</f>
        <v>10589050.081192868</v>
      </c>
      <c r="M80" s="697">
        <f>M5+M6+M27+M35+M36+M45</f>
        <v>10581116.265758863</v>
      </c>
      <c r="N80" s="697">
        <f>N5+N6+N27+N35+N36+N45</f>
        <v>10336126.390311176</v>
      </c>
      <c r="O80" s="697">
        <f>O5+O6+O27+O35+O36+O45</f>
        <v>9791763.061706109</v>
      </c>
      <c r="P80" s="697">
        <f>P5+P6+P27+P35+P36+P45</f>
        <v>10244994.279256051</v>
      </c>
      <c r="Q80" s="696">
        <f>Q5+Q6+Q27+Q35+Q36+Q45</f>
        <v>8009847.944040223</v>
      </c>
      <c r="R80" s="493">
        <f>R5+R6+R27+R35+R36+R45</f>
        <v>59552898.022265293</v>
      </c>
      <c r="S80" s="493">
        <f>S5+S6+S27+S35+S36+S45</f>
        <v>0</v>
      </c>
      <c r="T80" s="493">
        <f>T5+T6+T27+T35+T36+T45</f>
        <v>59552898.022265293</v>
      </c>
      <c r="U80" s="493"/>
      <c r="V80" s="490"/>
    </row>
    <row r="81" spans="10:24" s="485" customFormat="1">
      <c r="K81" s="489" t="s">
        <v>358</v>
      </c>
      <c r="L81" s="695">
        <f>L28+L44+L57</f>
        <v>5744369.4160385318</v>
      </c>
      <c r="M81" s="695">
        <f>M28+M44+M57</f>
        <v>6550242.0390491653</v>
      </c>
      <c r="N81" s="695">
        <f>N28+N44+N57</f>
        <v>6513866.7408326007</v>
      </c>
      <c r="O81" s="695">
        <f>O28+O44+O57</f>
        <v>6478396.1924619991</v>
      </c>
      <c r="P81" s="695">
        <f>P28+P44+P57</f>
        <v>6568953.9016929213</v>
      </c>
      <c r="Q81" s="694">
        <f>Q28+Q44+Q57</f>
        <v>5577714.5342810471</v>
      </c>
      <c r="R81" s="500">
        <f>R28+R44+R57</f>
        <v>37433542.824356258</v>
      </c>
      <c r="S81" s="500">
        <f>S28+S44+S57</f>
        <v>0</v>
      </c>
      <c r="T81" s="500">
        <f>T28+T44+T57</f>
        <v>0</v>
      </c>
      <c r="U81" s="500">
        <f>U28+U44+U57</f>
        <v>0</v>
      </c>
      <c r="V81" s="499">
        <f>V28+V44+V57</f>
        <v>37433542.824356258</v>
      </c>
      <c r="W81" s="493"/>
      <c r="X81" s="493"/>
    </row>
    <row r="82" spans="10:24" s="485" customFormat="1">
      <c r="K82" s="487"/>
      <c r="L82" s="493"/>
      <c r="M82" s="493"/>
      <c r="N82" s="493"/>
      <c r="O82" s="493"/>
      <c r="P82" s="493"/>
      <c r="Q82" s="493"/>
      <c r="R82" s="493"/>
      <c r="S82" s="493"/>
      <c r="T82" s="493"/>
      <c r="U82" s="493"/>
      <c r="V82" s="493"/>
      <c r="W82" s="493"/>
      <c r="X82" s="493"/>
    </row>
    <row r="83" spans="10:24" s="485" customFormat="1" ht="29.1" customHeight="1">
      <c r="J83" s="498" t="s">
        <v>357</v>
      </c>
      <c r="K83" s="497" t="s">
        <v>356</v>
      </c>
      <c r="L83" s="693">
        <v>127499903.61233956</v>
      </c>
      <c r="M83" s="493"/>
      <c r="N83" s="493"/>
      <c r="O83" s="493"/>
      <c r="P83" s="493"/>
      <c r="Q83" s="493"/>
      <c r="R83" s="493"/>
      <c r="S83" s="493"/>
      <c r="U83" s="496"/>
      <c r="V83" s="493"/>
      <c r="W83" s="493"/>
      <c r="X83" s="493"/>
    </row>
    <row r="84" spans="10:24" s="485" customFormat="1" ht="30">
      <c r="K84" s="692" t="s">
        <v>355</v>
      </c>
      <c r="L84" s="691">
        <v>30513462.765718002</v>
      </c>
      <c r="R84" s="502"/>
    </row>
    <row r="85" spans="10:24" s="485" customFormat="1" ht="30">
      <c r="K85" s="690" t="s">
        <v>354</v>
      </c>
      <c r="L85" s="689">
        <v>96986440.846621603</v>
      </c>
      <c r="M85" s="493">
        <f>L85-R73</f>
        <v>0</v>
      </c>
      <c r="N85" s="493"/>
      <c r="O85" s="493"/>
      <c r="P85" s="493"/>
      <c r="Q85" s="493"/>
      <c r="R85" s="493"/>
      <c r="S85" s="493"/>
      <c r="T85" s="493"/>
      <c r="U85" s="493"/>
      <c r="V85" s="493"/>
    </row>
    <row r="86" spans="10:24" s="485" customFormat="1">
      <c r="K86" s="487"/>
      <c r="L86" s="493"/>
      <c r="M86" s="493"/>
      <c r="N86" s="493"/>
      <c r="O86" s="493"/>
      <c r="P86" s="493"/>
      <c r="Q86" s="493"/>
      <c r="R86" s="493"/>
      <c r="S86" s="493"/>
      <c r="T86" s="493"/>
      <c r="U86" s="493"/>
      <c r="V86" s="493"/>
    </row>
    <row r="87" spans="10:24" s="485" customFormat="1">
      <c r="K87" s="487"/>
      <c r="L87" s="493"/>
      <c r="M87" s="493"/>
      <c r="N87" s="493"/>
      <c r="O87" s="493"/>
      <c r="P87" s="493"/>
      <c r="Q87" s="493"/>
      <c r="R87" s="493"/>
      <c r="S87" s="493"/>
      <c r="T87" s="493"/>
      <c r="U87" s="493"/>
      <c r="V87" s="493"/>
    </row>
    <row r="88" spans="10:24" s="485" customFormat="1">
      <c r="K88" s="495" t="s">
        <v>205</v>
      </c>
      <c r="R88" s="502"/>
    </row>
    <row r="89" spans="10:24" s="485" customFormat="1">
      <c r="K89" s="494" t="s">
        <v>353</v>
      </c>
      <c r="L89" s="688">
        <f>SUM(L78:L79)+SUM(M78:M79)</f>
        <v>16246147.957694827</v>
      </c>
      <c r="M89" s="675"/>
      <c r="R89" s="502"/>
    </row>
    <row r="90" spans="10:24" s="485" customFormat="1">
      <c r="K90" s="491" t="s">
        <v>350</v>
      </c>
      <c r="L90" s="490">
        <f>L78+M78</f>
        <v>4457433.7924497649</v>
      </c>
      <c r="M90" s="493"/>
      <c r="Q90" s="687"/>
      <c r="R90" s="686"/>
      <c r="T90" s="493"/>
      <c r="U90" s="493"/>
      <c r="V90" s="493"/>
    </row>
    <row r="91" spans="10:24" s="485" customFormat="1">
      <c r="K91" s="491" t="s">
        <v>349</v>
      </c>
      <c r="L91" s="490">
        <f>L79+M79</f>
        <v>11788714.165245062</v>
      </c>
      <c r="M91" s="493"/>
      <c r="R91" s="502"/>
      <c r="T91" s="493"/>
      <c r="V91" s="493"/>
    </row>
    <row r="92" spans="10:24" s="485" customFormat="1">
      <c r="K92" s="491" t="s">
        <v>352</v>
      </c>
      <c r="L92" s="492">
        <f>SUM(N78:N79)+SUM(O78:O79)</f>
        <v>23409613.323610902</v>
      </c>
      <c r="M92" s="675"/>
      <c r="R92" s="502"/>
    </row>
    <row r="93" spans="10:24" s="485" customFormat="1">
      <c r="K93" s="491" t="s">
        <v>350</v>
      </c>
      <c r="L93" s="490">
        <f>N78+O78</f>
        <v>6410433.7924497649</v>
      </c>
      <c r="M93" s="493"/>
      <c r="R93" s="502"/>
    </row>
    <row r="94" spans="10:24" s="485" customFormat="1">
      <c r="K94" s="491" t="s">
        <v>349</v>
      </c>
      <c r="L94" s="490">
        <f>N79+O79</f>
        <v>16999179.531161137</v>
      </c>
      <c r="M94" s="493"/>
      <c r="R94" s="502"/>
    </row>
    <row r="95" spans="10:24" s="485" customFormat="1">
      <c r="K95" s="491" t="s">
        <v>351</v>
      </c>
      <c r="L95" s="492">
        <f>SUM(P78:P79)+SUM(Q78:Q79)</f>
        <v>14205241.865368217</v>
      </c>
      <c r="M95" s="675"/>
      <c r="R95" s="502"/>
    </row>
    <row r="96" spans="10:24" s="485" customFormat="1">
      <c r="K96" s="491" t="s">
        <v>350</v>
      </c>
      <c r="L96" s="490">
        <f>P78+Q78</f>
        <v>1947837.7924497649</v>
      </c>
      <c r="M96" s="493"/>
      <c r="R96" s="502"/>
    </row>
    <row r="97" spans="10:22" s="485" customFormat="1">
      <c r="K97" s="491" t="s">
        <v>349</v>
      </c>
      <c r="L97" s="490">
        <f>P79+Q79</f>
        <v>12257404.072918452</v>
      </c>
      <c r="M97" s="493"/>
      <c r="R97" s="502"/>
    </row>
    <row r="98" spans="10:22" s="485" customFormat="1">
      <c r="K98" s="489" t="s">
        <v>204</v>
      </c>
      <c r="L98" s="488">
        <f>L89+L92+L95</f>
        <v>53861003.146673948</v>
      </c>
      <c r="M98" s="675"/>
      <c r="R98" s="502"/>
    </row>
    <row r="99" spans="10:22" s="485" customFormat="1">
      <c r="K99" s="487"/>
      <c r="L99" s="685"/>
      <c r="M99" s="685"/>
      <c r="N99" s="685"/>
      <c r="R99" s="502"/>
    </row>
    <row r="100" spans="10:22" s="485" customFormat="1">
      <c r="K100" s="680" t="s">
        <v>361</v>
      </c>
      <c r="L100" s="684">
        <f>SUM(L2:L3,L21)</f>
        <v>594596</v>
      </c>
      <c r="M100" s="684">
        <f>SUM(M2:M3,M21)</f>
        <v>3862837.7924497649</v>
      </c>
      <c r="N100" s="684">
        <f>SUM(N2:N3,N21)</f>
        <v>3591596</v>
      </c>
      <c r="O100" s="684">
        <f>SUM(O2:O3,O21)</f>
        <v>2818837.7924497649</v>
      </c>
      <c r="P100" s="684">
        <f>SUM(P2:P3,P21)</f>
        <v>1947837.7924497649</v>
      </c>
      <c r="Q100" s="684">
        <f>SUM(Q2:Q3,Q21)</f>
        <v>0</v>
      </c>
      <c r="R100" s="684">
        <f>SUM(R2:R3,R21)</f>
        <v>12815705.377349295</v>
      </c>
      <c r="S100" s="684">
        <f>SUM(S2:S3,S21)</f>
        <v>12815705.377349295</v>
      </c>
      <c r="T100" s="684">
        <f>SUM(T2:T3,T21)</f>
        <v>0</v>
      </c>
      <c r="U100" s="684">
        <f>SUM(U2:U3,U21)</f>
        <v>0</v>
      </c>
      <c r="V100" s="684">
        <f>SUM(V2:V3,V21)</f>
        <v>0</v>
      </c>
    </row>
    <row r="101" spans="10:22" s="485" customFormat="1">
      <c r="K101" s="680" t="s">
        <v>360</v>
      </c>
      <c r="L101" s="684">
        <f>SUM(L58:L69,L52:L56,L46:L49,L41:L43,L38,L33:L34,L29:L30,L17:L26,L7:L15,L4)-L21</f>
        <v>3366782.7214368791</v>
      </c>
      <c r="M101" s="684">
        <f>SUM(M58:M69,M52:M56,M46:M49,M41:M43,M38,M33:M34,M29:M30,M17:M26,M7:M15,M4)-M21</f>
        <v>8421931.4438081831</v>
      </c>
      <c r="N101" s="684">
        <f>SUM(N58:N69,N52:N56,N46:N49,N41:N43,N38,N33:N34,N29:N30,N17:N26,N7:N15,N4)-N21</f>
        <v>9073558.4838903192</v>
      </c>
      <c r="O101" s="684">
        <f>SUM(O58:O69,O52:O56,O46:O49,O41:O43,O38,O33:O34,O29:O30,O17:O26,O7:O15,O4)-O21</f>
        <v>7925621.0472708186</v>
      </c>
      <c r="P101" s="684">
        <f>SUM(P58:P69,P52:P56,P46:P49,P41:P43,P38,P33:P34,P29:P30,P17:P26,P7:P15,P4)-P21</f>
        <v>6368884.5233774344</v>
      </c>
      <c r="Q101" s="684">
        <f>SUM(Q58:Q69,Q52:Q56,Q46:Q49,Q41:Q43,Q38,Q33:Q34,Q29:Q30,Q17:Q26,Q7:Q15,Q4)-Q21</f>
        <v>5888519.549541017</v>
      </c>
      <c r="R101" s="684">
        <f>SUM(R58:R69,R52:R56,R46:R49,R41:R43,R38,R33:R34,R29:R30,R17:R26,R7:R15,R4)-R21</f>
        <v>41045297.769324638</v>
      </c>
      <c r="S101" s="684">
        <f>SUM(S58:S69,S52:S56,S46:S49,S41:S43,S38,S33:S34,S29:S30,S17:S26,S7:S15,S4)-S21</f>
        <v>0</v>
      </c>
      <c r="T101" s="684">
        <f>SUM(T58:T69,T52:T56,T46:T49,T41:T43,T38,T33:T34,T29:T30,T17:T26,T7:T15,T4)-T21</f>
        <v>0</v>
      </c>
      <c r="U101" s="684">
        <f>SUM(U58:U69,U52:U56,U46:U49,U41:U43,U38,U33:U34,U29:U30,U17:U26,U7:U15,U4)-U21</f>
        <v>41045297.769324638</v>
      </c>
      <c r="V101" s="684">
        <f>SUM(V58:V69,V52:V56,V46:V49,V41:V43,V38,V33:V34,V29:V30,V17:V26,V7:V15,V4)-V21</f>
        <v>0</v>
      </c>
    </row>
    <row r="102" spans="10:22" s="485" customFormat="1">
      <c r="K102" s="680" t="s">
        <v>359</v>
      </c>
      <c r="L102" s="684">
        <f>SUM(L27,L35:L36,L45,L5:L6)</f>
        <v>10589050.08119287</v>
      </c>
      <c r="M102" s="684">
        <f>SUM(M27,M35:M36,M45,M5:M6)</f>
        <v>10581116.265758863</v>
      </c>
      <c r="N102" s="684">
        <f>SUM(N27,N35:N36,N45,N5:N6)</f>
        <v>10336126.390311176</v>
      </c>
      <c r="O102" s="684">
        <f>SUM(O27,O35:O36,O45,O5:O6)</f>
        <v>9791763.0617061071</v>
      </c>
      <c r="P102" s="684">
        <f>SUM(P27,P35:P36,P45,P5:P6)</f>
        <v>10244994.279256051</v>
      </c>
      <c r="Q102" s="684">
        <f>SUM(Q27,Q35:Q36,Q45,Q5:Q6)</f>
        <v>8009847.944040223</v>
      </c>
      <c r="R102" s="684">
        <f>SUM(R27,R35:R36,R45,R5:R6)</f>
        <v>59552898.022265293</v>
      </c>
      <c r="S102" s="684">
        <f>SUM(S27,S35:S36,S45,S5:S6)</f>
        <v>0</v>
      </c>
      <c r="T102" s="684">
        <f>SUM(T27,T35:T36,T45,T5:T6)</f>
        <v>59552898.022265293</v>
      </c>
      <c r="U102" s="684">
        <f>SUM(U27,U35:U36,U45,U5:U6)</f>
        <v>0</v>
      </c>
      <c r="V102" s="684">
        <f>SUM(V27,V35:V36,V45,V5:V6)</f>
        <v>0</v>
      </c>
    </row>
    <row r="103" spans="10:22" s="485" customFormat="1">
      <c r="K103" s="680" t="s">
        <v>358</v>
      </c>
      <c r="L103" s="684">
        <f>SUM(L28,L44,L57)</f>
        <v>5744369.4160385318</v>
      </c>
      <c r="M103" s="684">
        <f>SUM(M28,M44,M57)</f>
        <v>6550242.0390491653</v>
      </c>
      <c r="N103" s="684">
        <f>SUM(N28,N44,N57)</f>
        <v>6513866.7408326007</v>
      </c>
      <c r="O103" s="684">
        <f>SUM(O28,O44,O57)</f>
        <v>6478396.1924619991</v>
      </c>
      <c r="P103" s="684">
        <f>SUM(P28,P44,P57)</f>
        <v>6568953.9016929213</v>
      </c>
      <c r="Q103" s="684">
        <f>SUM(Q28,Q44,Q57)</f>
        <v>5577714.5342810471</v>
      </c>
      <c r="R103" s="684">
        <f>SUM(R28,R44,R57)</f>
        <v>37433542.824356258</v>
      </c>
      <c r="S103" s="684">
        <f>SUM(S28,S44,S57)</f>
        <v>0</v>
      </c>
      <c r="T103" s="684">
        <f>SUM(T28,T44,T57)</f>
        <v>0</v>
      </c>
      <c r="U103" s="684">
        <f>SUM(U28,U44,U57)</f>
        <v>0</v>
      </c>
      <c r="V103" s="684">
        <f>SUM(V28,V44,V57)</f>
        <v>37433542.824356258</v>
      </c>
    </row>
    <row r="104" spans="10:22" s="485" customFormat="1">
      <c r="K104" s="681"/>
      <c r="L104" s="683"/>
      <c r="M104" s="681"/>
      <c r="N104" s="681"/>
      <c r="O104" s="681"/>
      <c r="P104" s="681"/>
      <c r="Q104" s="681"/>
      <c r="R104" s="682"/>
      <c r="S104" s="681"/>
      <c r="T104" s="681"/>
      <c r="U104" s="681"/>
      <c r="V104" s="681"/>
    </row>
    <row r="105" spans="10:22" s="485" customFormat="1">
      <c r="K105" s="680" t="s">
        <v>361</v>
      </c>
      <c r="L105" s="679">
        <f>L100-L78</f>
        <v>0</v>
      </c>
      <c r="M105" s="679">
        <f>M100-M78</f>
        <v>0</v>
      </c>
      <c r="N105" s="679">
        <f>N100-N78</f>
        <v>0</v>
      </c>
      <c r="O105" s="679">
        <f>O100-O78</f>
        <v>0</v>
      </c>
      <c r="P105" s="679">
        <f>P100-P78</f>
        <v>0</v>
      </c>
      <c r="Q105" s="679">
        <f>Q100-Q78</f>
        <v>0</v>
      </c>
      <c r="R105" s="679">
        <f>R100-R78</f>
        <v>0</v>
      </c>
      <c r="S105" s="679">
        <f>S100-S78</f>
        <v>0</v>
      </c>
      <c r="T105" s="679">
        <f>T100-T78</f>
        <v>0</v>
      </c>
      <c r="U105" s="679">
        <f>U100-U78</f>
        <v>0</v>
      </c>
      <c r="V105" s="679">
        <f>V100-V78</f>
        <v>0</v>
      </c>
    </row>
    <row r="106" spans="10:22" s="485" customFormat="1">
      <c r="K106" s="680" t="s">
        <v>360</v>
      </c>
      <c r="L106" s="679">
        <f>+L101-L79</f>
        <v>0</v>
      </c>
      <c r="M106" s="679">
        <f>+M101-M79</f>
        <v>0</v>
      </c>
      <c r="N106" s="679">
        <f>+N101-N79</f>
        <v>0</v>
      </c>
      <c r="O106" s="679">
        <f>+O101-O79</f>
        <v>0</v>
      </c>
      <c r="P106" s="679">
        <f>+P101-P79</f>
        <v>0</v>
      </c>
      <c r="Q106" s="679">
        <f>+Q101-Q79</f>
        <v>0</v>
      </c>
      <c r="R106" s="679">
        <f>+R101-R79</f>
        <v>16234551.730460744</v>
      </c>
      <c r="S106" s="679">
        <f>+S101-S79</f>
        <v>0</v>
      </c>
      <c r="T106" s="679">
        <f>+T101-T79</f>
        <v>0</v>
      </c>
      <c r="U106" s="679">
        <f>+U101-U79</f>
        <v>16234551.730460744</v>
      </c>
      <c r="V106" s="679">
        <f>+V101-V79</f>
        <v>0</v>
      </c>
    </row>
    <row r="107" spans="10:22" s="485" customFormat="1">
      <c r="K107" s="680" t="s">
        <v>359</v>
      </c>
      <c r="L107" s="679">
        <f>+L80-L102</f>
        <v>0</v>
      </c>
      <c r="M107" s="679">
        <f>+M80-M102</f>
        <v>0</v>
      </c>
      <c r="N107" s="679">
        <f>+N80-N102</f>
        <v>0</v>
      </c>
      <c r="O107" s="679">
        <f>+O80-O102</f>
        <v>0</v>
      </c>
      <c r="P107" s="679">
        <f>+P80-P102</f>
        <v>0</v>
      </c>
      <c r="Q107" s="679">
        <f>+Q80-Q102</f>
        <v>0</v>
      </c>
      <c r="R107" s="679">
        <f>+R80-R102</f>
        <v>0</v>
      </c>
      <c r="S107" s="679">
        <f>+S80-S102</f>
        <v>0</v>
      </c>
      <c r="T107" s="679">
        <f>+T80-T102</f>
        <v>0</v>
      </c>
      <c r="U107" s="679">
        <f>+U80-U102</f>
        <v>0</v>
      </c>
      <c r="V107" s="679">
        <f>+V80-V102</f>
        <v>0</v>
      </c>
    </row>
    <row r="108" spans="10:22" s="485" customFormat="1">
      <c r="K108" s="680" t="s">
        <v>358</v>
      </c>
      <c r="L108" s="679">
        <f>+L81-L103</f>
        <v>0</v>
      </c>
      <c r="M108" s="679">
        <f>+M81-M103</f>
        <v>0</v>
      </c>
      <c r="N108" s="679">
        <f>+N81-N103</f>
        <v>0</v>
      </c>
      <c r="O108" s="679">
        <f>+O81-O103</f>
        <v>0</v>
      </c>
      <c r="P108" s="679">
        <f>+P81-P103</f>
        <v>0</v>
      </c>
      <c r="Q108" s="679">
        <f>+Q81-Q103</f>
        <v>0</v>
      </c>
      <c r="R108" s="679">
        <f>+R81-R103</f>
        <v>0</v>
      </c>
      <c r="S108" s="679">
        <f>+S81-S103</f>
        <v>0</v>
      </c>
      <c r="T108" s="679">
        <f>+T81-T103</f>
        <v>0</v>
      </c>
      <c r="U108" s="679">
        <f>+U81-U103</f>
        <v>0</v>
      </c>
      <c r="V108" s="679">
        <f>+V81-V103</f>
        <v>0</v>
      </c>
    </row>
    <row r="111" spans="10:22" s="485" customFormat="1">
      <c r="J111" s="485" t="s">
        <v>422</v>
      </c>
      <c r="L111" s="493">
        <f>L2</f>
        <v>399000</v>
      </c>
      <c r="M111" s="493">
        <f>M2</f>
        <v>3735241.7924497649</v>
      </c>
      <c r="N111" s="493">
        <f>N2</f>
        <v>3464000</v>
      </c>
      <c r="O111" s="493">
        <f>O2</f>
        <v>2691241.7924497649</v>
      </c>
      <c r="P111" s="493">
        <f>P2</f>
        <v>1820241.7924497649</v>
      </c>
      <c r="Q111" s="493">
        <f>Q2</f>
        <v>0</v>
      </c>
      <c r="R111" s="502"/>
    </row>
    <row r="112" spans="10:22" s="485" customFormat="1">
      <c r="J112" s="485" t="s">
        <v>421</v>
      </c>
      <c r="L112" s="493">
        <f>L5</f>
        <v>1623251.527607837</v>
      </c>
      <c r="M112" s="493">
        <f>M5</f>
        <v>1190257.5494776554</v>
      </c>
      <c r="N112" s="493">
        <f>N5</f>
        <v>1011872.1286124199</v>
      </c>
      <c r="O112" s="493">
        <f>O5</f>
        <v>879635.68742747116</v>
      </c>
      <c r="P112" s="493">
        <f>P5</f>
        <v>1116578.7416456486</v>
      </c>
      <c r="Q112" s="493">
        <f>Q5</f>
        <v>0</v>
      </c>
      <c r="R112" s="502"/>
    </row>
    <row r="113" spans="10:23" s="485" customFormat="1">
      <c r="J113" s="485" t="s">
        <v>420</v>
      </c>
      <c r="L113" s="493">
        <f>L14</f>
        <v>102462.22752480001</v>
      </c>
      <c r="M113" s="493">
        <f>M14</f>
        <v>933225.96829587861</v>
      </c>
      <c r="N113" s="493">
        <f>N14</f>
        <v>1469105.0576462231</v>
      </c>
      <c r="O113" s="493">
        <f>O14</f>
        <v>955757.77607441426</v>
      </c>
      <c r="P113" s="493">
        <f>P14</f>
        <v>0</v>
      </c>
      <c r="Q113" s="493">
        <f>Q14</f>
        <v>0</v>
      </c>
      <c r="R113" s="502"/>
    </row>
    <row r="114" spans="10:23" s="485" customFormat="1">
      <c r="J114" s="485" t="s">
        <v>419</v>
      </c>
      <c r="L114" s="493">
        <f>L7</f>
        <v>95281.114142720035</v>
      </c>
      <c r="M114" s="493">
        <f>M7</f>
        <v>792252.4222145892</v>
      </c>
      <c r="N114" s="493">
        <f>N7</f>
        <v>859558.58294395986</v>
      </c>
      <c r="O114" s="493">
        <f>O7</f>
        <v>873873.28593928996</v>
      </c>
      <c r="P114" s="493">
        <f>P7</f>
        <v>837773.39665006299</v>
      </c>
      <c r="Q114" s="493">
        <f>Q7</f>
        <v>824876.67740986426</v>
      </c>
      <c r="R114" s="493">
        <f>R7</f>
        <v>4283615.4793004859</v>
      </c>
      <c r="S114" s="493">
        <f>S7</f>
        <v>0</v>
      </c>
      <c r="T114" s="493">
        <f>T7</f>
        <v>0</v>
      </c>
      <c r="U114" s="493">
        <f>U7</f>
        <v>4283615.4793004859</v>
      </c>
      <c r="V114" s="493">
        <f>V7</f>
        <v>0</v>
      </c>
    </row>
    <row r="115" spans="10:23" s="485" customFormat="1">
      <c r="J115" s="485" t="s">
        <v>418</v>
      </c>
      <c r="L115" s="493">
        <f>L33+L35</f>
        <v>1391976.3309900968</v>
      </c>
      <c r="M115" s="493">
        <f>M33+M35</f>
        <v>1804297.6344754759</v>
      </c>
      <c r="N115" s="493">
        <f>N33+N35</f>
        <v>1830349.0867843777</v>
      </c>
      <c r="O115" s="493">
        <f>O33+O35</f>
        <v>1959298.1728187525</v>
      </c>
      <c r="P115" s="493">
        <f>P33+P35</f>
        <v>1997185.3869396844</v>
      </c>
      <c r="Q115" s="493">
        <f>Q33+Q35</f>
        <v>766070.09322952572</v>
      </c>
      <c r="R115" s="502"/>
    </row>
    <row r="116" spans="10:23" s="485" customFormat="1" ht="15.75" thickBot="1">
      <c r="J116" s="678" t="s">
        <v>213</v>
      </c>
      <c r="K116" s="677"/>
      <c r="L116" s="676">
        <f>SUM(L111:L115)</f>
        <v>3611971.2002654541</v>
      </c>
      <c r="M116" s="676">
        <f>SUM(M111:M115)</f>
        <v>8455275.3669133633</v>
      </c>
      <c r="N116" s="676">
        <f>SUM(N111:N115)</f>
        <v>8634884.8559869807</v>
      </c>
      <c r="O116" s="676">
        <f>SUM(O111:O115)</f>
        <v>7359806.7147096936</v>
      </c>
      <c r="P116" s="676">
        <f>SUM(P111:P115)</f>
        <v>5771779.3176851608</v>
      </c>
      <c r="Q116" s="676">
        <f>SUM(Q111:Q115)</f>
        <v>1590946.77063939</v>
      </c>
      <c r="R116" s="502"/>
      <c r="W116" s="675"/>
    </row>
  </sheetData>
  <mergeCells count="42">
    <mergeCell ref="D48:D49"/>
    <mergeCell ref="A40:C40"/>
    <mergeCell ref="C41:C45"/>
    <mergeCell ref="A51:C51"/>
    <mergeCell ref="C48:C49"/>
    <mergeCell ref="B41:B49"/>
    <mergeCell ref="A52:A70"/>
    <mergeCell ref="B58:B63"/>
    <mergeCell ref="B64:B68"/>
    <mergeCell ref="D54:D55"/>
    <mergeCell ref="B52:B57"/>
    <mergeCell ref="C54:C55"/>
    <mergeCell ref="D2:D4"/>
    <mergeCell ref="D11:D13"/>
    <mergeCell ref="D14:D15"/>
    <mergeCell ref="C2:C6"/>
    <mergeCell ref="D35:D36"/>
    <mergeCell ref="D33:D34"/>
    <mergeCell ref="C14:C15"/>
    <mergeCell ref="B16:C16"/>
    <mergeCell ref="A32:C32"/>
    <mergeCell ref="B31:C31"/>
    <mergeCell ref="C33:C36"/>
    <mergeCell ref="B17:B30"/>
    <mergeCell ref="B39:C39"/>
    <mergeCell ref="A33:A39"/>
    <mergeCell ref="A41:A50"/>
    <mergeCell ref="B50:C50"/>
    <mergeCell ref="A2:A31"/>
    <mergeCell ref="B2:B15"/>
    <mergeCell ref="C7:C10"/>
    <mergeCell ref="C11:C13"/>
    <mergeCell ref="B33:B36"/>
    <mergeCell ref="C46:C47"/>
    <mergeCell ref="B37:C37"/>
    <mergeCell ref="C19:C28"/>
    <mergeCell ref="D5:D6"/>
    <mergeCell ref="D7:D10"/>
    <mergeCell ref="D29:D30"/>
    <mergeCell ref="D27:D28"/>
    <mergeCell ref="D19:D26"/>
    <mergeCell ref="C29:C30"/>
  </mergeCells>
  <pageMargins left="0.7" right="0.7" top="0.75" bottom="0.75" header="0.3" footer="0.3"/>
  <pageSetup paperSize="9" scale="32" fitToHeight="0" orientation="landscape" r:id="rId1"/>
  <headerFooter>
    <oddHeader>&amp;CDetailed budget breakdown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SharedWithUsers xmlns="a3cd7b71-671d-4139-9a97-5d1a7380fae4">
      <UserInfo>
        <DisplayName/>
        <AccountId xsi:nil="true"/>
        <AccountType/>
      </UserInfo>
    </SharedWithUsers>
    <MediaLengthInSeconds xmlns="366ae72f-6d51-4737-8f6b-a9169c366b64" xsi:nil="true"/>
  </documentManagement>
</p:properties>
</file>

<file path=customXml/itemProps1.xml><?xml version="1.0" encoding="utf-8"?>
<ds:datastoreItem xmlns:ds="http://schemas.openxmlformats.org/officeDocument/2006/customXml" ds:itemID="{4D465B36-6C80-4A20-88F6-3E22910DDA7E}"/>
</file>

<file path=customXml/itemProps2.xml><?xml version="1.0" encoding="utf-8"?>
<ds:datastoreItem xmlns:ds="http://schemas.openxmlformats.org/officeDocument/2006/customXml" ds:itemID="{47BB1597-BE33-4D0F-A73E-02B3FAB728BE}"/>
</file>

<file path=customXml/itemProps3.xml><?xml version="1.0" encoding="utf-8"?>
<ds:datastoreItem xmlns:ds="http://schemas.openxmlformats.org/officeDocument/2006/customXml" ds:itemID="{06C8DE0C-5E2D-41E2-BB2A-D3CACC23EF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Conversion factors</vt:lpstr>
      <vt:lpstr>CFs used</vt:lpstr>
      <vt:lpstr>Calculations</vt:lpstr>
      <vt:lpstr>Benefits Fin. and Econ Roads</vt:lpstr>
      <vt:lpstr>Summary of Indicators</vt:lpstr>
      <vt:lpstr>Detailed Budget Notes </vt:lpstr>
      <vt:lpstr>Detailed Budget</vt:lpstr>
      <vt:lpstr>'Detailed Budget'!Print_Area</vt:lpstr>
      <vt:lpstr>'Detailed Budget Notes '!Print_Area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cp:lastModifiedBy>
  <dcterms:created xsi:type="dcterms:W3CDTF">2023-07-10T07:19:54Z</dcterms:created>
  <dcterms:modified xsi:type="dcterms:W3CDTF">2023-12-13T21:12:43Z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y fmtid="{D5CDD505-2E9C-101B-9397-08002B2CF9AE}" pid="4" name="Etag">
    <vt:lpwstr>0x8DBFD580E30DC32</vt:lpwstr>
  </property>
  <property fmtid="{D5CDD505-2E9C-101B-9397-08002B2CF9AE}" pid="5" name="Order">
    <vt:r8>76071700</vt:r8>
  </property>
  <property fmtid="{D5CDD505-2E9C-101B-9397-08002B2CF9AE}" pid="6" name="SWCPowerTaggingTag">
    <vt:lpwstr>{"Extraction":2,"Tags":[],"Msg":"PowerTagging ListItem Error: The request was canceled due to the configured HttpClient.Timeout of 100 seconds elapsing."}</vt:lpwstr>
  </property>
  <property fmtid="{D5CDD505-2E9C-101B-9397-08002B2CF9AE}" pid="7" name="blobFile">
    <vt:lpwstr>687d2902-3c88-4ebe-904c-c304f9992535/d8ceff23-8294-4473-82dc-47f0a53216de.xlsx</vt:lpwstr>
  </property>
  <property fmtid="{D5CDD505-2E9C-101B-9397-08002B2CF9AE}" pid="8" name="xd_Signature">
    <vt:bool>false</vt:bool>
  </property>
  <property fmtid="{D5CDD505-2E9C-101B-9397-08002B2CF9AE}" pid="9" name="xd_ProgID">
    <vt:lpwstr/>
  </property>
  <property fmtid="{D5CDD505-2E9C-101B-9397-08002B2CF9AE}" pid="10" name="_SourceUrl">
    <vt:lpwstr/>
  </property>
  <property fmtid="{D5CDD505-2E9C-101B-9397-08002B2CF9AE}" pid="11" name="_SharedFileIndex">
    <vt:lpwstr/>
  </property>
  <property fmtid="{D5CDD505-2E9C-101B-9397-08002B2CF9AE}" pid="12" name="TemplateUrl">
    <vt:lpwstr/>
  </property>
  <property fmtid="{D5CDD505-2E9C-101B-9397-08002B2CF9AE}" pid="13" name="ComplianceAssetId">
    <vt:lpwstr/>
  </property>
  <property fmtid="{D5CDD505-2E9C-101B-9397-08002B2CF9AE}" pid="14" name="DocumentType">
    <vt:lpwstr>Econ. &amp; Fin. Analysis</vt:lpwstr>
  </property>
  <property fmtid="{D5CDD505-2E9C-101B-9397-08002B2CF9AE}" pid="15" name="_ExtendedDescription">
    <vt:lpwstr/>
  </property>
  <property fmtid="{D5CDD505-2E9C-101B-9397-08002B2CF9AE}" pid="16" name="TriggerFlowInfo">
    <vt:lpwstr/>
  </property>
</Properties>
</file>