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3.xml" ContentType="application/vnd.openxmlformats-officedocument.spreadsheetml.worksheet+xml"/>
  <Override PartName="/xl/pivotTables/pivotTable1.xml" ContentType="application/vnd.openxmlformats-officedocument.spreadsheetml.pivotTable+xml"/>
  <Override PartName="/xl/drawings/drawing1.xml" ContentType="application/vnd.openxmlformats-officedocument.drawing+xml"/>
  <Override PartName="/xl/sharedStrings.xml" ContentType="application/vnd.openxmlformats-officedocument.spreadsheetml.sharedStrings+xml"/>
  <Override PartName="/xl/worksheets/sheet1.xml" ContentType="application/vnd.openxmlformats-officedocument.spreadsheetml.worksheet+xml"/>
  <Override PartName="/xl/theme/theme1.xml" ContentType="application/vnd.openxmlformats-officedocument.theme+xml"/>
  <Override PartName="/xl/worksheets/sheet2.xml" ContentType="application/vnd.openxmlformats-officedocument.spreadsheetml.worksheet+xml"/>
  <Override PartName="/xl/worksheets/sheet24.xml" ContentType="application/vnd.openxmlformats-officedocument.spreadsheetml.worksheet+xml"/>
  <Override PartName="/xl/styles.xml" ContentType="application/vnd.openxmlformats-officedocument.spreadsheetml.styles+xml"/>
  <Override PartName="/xl/worksheets/sheet22.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13.xml" ContentType="application/vnd.openxmlformats-officedocument.spreadsheetml.worksheet+xml"/>
  <Override PartName="/xl/worksheets/sheet12.xml" ContentType="application/vnd.openxmlformats-officedocument.spreadsheetml.worksheet+xml"/>
  <Override PartName="/xl/worksheets/sheet11.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21.xml" ContentType="application/vnd.openxmlformats-officedocument.spreadsheetml.worksheet+xml"/>
  <Override PartName="/xl/worksheets/sheet23.xml" ContentType="application/vnd.openxmlformats-officedocument.spreadsheetml.worksheet+xml"/>
  <Override PartName="/xl/externalLinks/externalLink19.xml" ContentType="application/vnd.openxmlformats-officedocument.spreadsheetml.externalLink+xml"/>
  <Override PartName="/xl/externalLinks/externalLink5.xml" ContentType="application/vnd.openxmlformats-officedocument.spreadsheetml.externalLink+xml"/>
  <Override PartName="/xl/externalLinks/externalLink4.xml" ContentType="application/vnd.openxmlformats-officedocument.spreadsheetml.externalLink+xml"/>
  <Override PartName="/xl/externalLinks/externalLink3.xml" ContentType="application/vnd.openxmlformats-officedocument.spreadsheetml.externalLink+xml"/>
  <Override PartName="/xl/externalLinks/externalLink2.xml" ContentType="application/vnd.openxmlformats-officedocument.spreadsheetml.externalLink+xml"/>
  <Override PartName="/xl/externalLinks/externalLink1.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pivotCache/pivotCacheRecords1.xml" ContentType="application/vnd.openxmlformats-officedocument.spreadsheetml.pivotCacheRecords+xml"/>
  <Override PartName="/xl/externalLinks/externalLink17.xml" ContentType="application/vnd.openxmlformats-officedocument.spreadsheetml.externalLink+xml"/>
  <Override PartName="/xl/externalLinks/externalLink16.xml" ContentType="application/vnd.openxmlformats-officedocument.spreadsheetml.externalLink+xml"/>
  <Override PartName="/xl/externalLinks/externalLink15.xml" ContentType="application/vnd.openxmlformats-officedocument.spreadsheetml.externalLink+xml"/>
  <Override PartName="/xl/pivotCache/pivotCacheDefinition1.xml" ContentType="application/vnd.openxmlformats-officedocument.spreadsheetml.pivotCacheDefinition+xml"/>
  <Override PartName="/xl/externalLinks/externalLink25.xml" ContentType="application/vnd.openxmlformats-officedocument.spreadsheetml.externalLink+xml"/>
  <Override PartName="/xl/externalLinks/externalLink24.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14.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calcChain.xml" ContentType="application/vnd.openxmlformats-officedocument.spreadsheetml.calcChain+xml"/>
  <Override PartName="/xl/externalLinks/externalLink13.xml" ContentType="application/vnd.openxmlformats-officedocument.spreadsheetml.externalLink+xml"/>
  <Override PartName="/xl/externalLinks/externalLink12.xml" ContentType="application/vnd.openxmlformats-officedocument.spreadsheetml.externalLink+xml"/>
  <Override PartName="/xl/externalLinks/externalLink18.xml" ContentType="application/vnd.openxmlformats-officedocument.spreadsheetml.externalLink+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90" windowWidth="20055" windowHeight="6930" tabRatio="898" activeTab="5"/>
  </bookViews>
  <sheets>
    <sheet name="Econ Sensitivity Analysis" sheetId="29" r:id="rId1"/>
    <sheet name="Detailed Budget" sheetId="32" r:id="rId2"/>
    <sheet name="Detailed Budget Notes " sheetId="31" r:id="rId3"/>
    <sheet name="Summary" sheetId="30" r:id="rId4"/>
    <sheet name="Consolidated Results of All ITs" sheetId="14" r:id="rId5"/>
    <sheet name="Overall Economic Benefits" sheetId="1" r:id="rId6"/>
    <sheet name="Overall Financial Benefits" sheetId="2" r:id="rId7"/>
    <sheet name="Sheet3" sheetId="3" state="hidden" r:id="rId8"/>
    <sheet name="E- Investment Type 1" sheetId="23" r:id="rId9"/>
    <sheet name="F- Investment Type 1" sheetId="15" r:id="rId10"/>
    <sheet name="E-Investment Type 2" sheetId="5" r:id="rId11"/>
    <sheet name="F-Investment Type 2" sheetId="16" r:id="rId12"/>
    <sheet name="E-Investment Type 3" sheetId="6" r:id="rId13"/>
    <sheet name="F-Investment Type 3" sheetId="17" r:id="rId14"/>
    <sheet name="E-Investment Type 4" sheetId="7" r:id="rId15"/>
    <sheet name="F-Investment Type 4" sheetId="18" r:id="rId16"/>
    <sheet name="E-Investment Type 5" sheetId="8" r:id="rId17"/>
    <sheet name="F-Investment Type 5" sheetId="19" r:id="rId18"/>
    <sheet name="E-Investment Type 6" sheetId="9" r:id="rId19"/>
    <sheet name="F-Investment Type 6" sheetId="20" r:id="rId20"/>
    <sheet name="E-Investment Type 7" sheetId="10" r:id="rId21"/>
    <sheet name="E-Investment Type 8" sheetId="28" r:id="rId22"/>
    <sheet name="Investment Type 9" sheetId="12" r:id="rId23"/>
    <sheet name="Investment Type 10" sheetId="13" r:id="rId24"/>
  </sheets>
  <externalReferences>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s>
  <definedNames>
    <definedName name="A" localSheetId="1">'[1]Detailed Budget Plan'!#REF!</definedName>
    <definedName name="A" localSheetId="2">'[1]Detailed Budget Plan'!#REF!</definedName>
    <definedName name="A" localSheetId="3">'[1]Detailed Budget Plan'!#REF!</definedName>
    <definedName name="A">'[1]Detailed Budget Plan'!#REF!</definedName>
    <definedName name="appleseedling">'[2]WP-2-Ap 1-Prices'!$F$28</definedName>
    <definedName name="bag">'[2]WP-2-Ap 1-Prices'!$F$62</definedName>
    <definedName name="banq">#N/A</definedName>
    <definedName name="banq_an1">#N/A</definedName>
    <definedName name="calf">'[3]APP1 Financial  Prices'!$D$17</definedName>
    <definedName name="Categories">OFFSET('[1]Title Lists'!$F$2,0,0,COUNTA('[1]Title Lists'!$F:$F)-1,1)</definedName>
    <definedName name="CF">'[3]APP1 Financial  Prices'!$C$8</definedName>
    <definedName name="change_bene">'[4]Economic Benefits Aggreation'!$C$38</definedName>
    <definedName name="change_project_cost">'[4]Economic Benefits Aggreation'!$C$39</definedName>
    <definedName name="Components">OFFSET('[1]Title Lists'!$B$2,0,0,COUNTA('[1]Title Lists'!$B:$B)-1,1)</definedName>
    <definedName name="cow">'[3]APP1 Financial  Prices'!$D$16</definedName>
    <definedName name="Cult">'[2]WP-2-Ap 1-Prices'!$F$25</definedName>
    <definedName name="digging">'[2]WP-2-Ap 1-Prices'!$F$26</definedName>
    <definedName name="douar_an1">#N/A</definedName>
    <definedName name="douar_an2">#N/A</definedName>
    <definedName name="douar_an3">#N/A</definedName>
    <definedName name="douar_an4">#N/A</definedName>
    <definedName name="douar_an5">#N/A</definedName>
    <definedName name="douar_an6">#N/A</definedName>
    <definedName name="EA">'[5]1 excDT'!$AM$187:$AM$196</definedName>
    <definedName name="End_Bal">'[6]Loan Amortization Schedule'!$I$18:$I$377</definedName>
    <definedName name="erwwr">'[7]Oil Mill - New'!$C$82</definedName>
    <definedName name="exchangerate">'[2]WP-2-Ap 1-Prices'!$E$5</definedName>
    <definedName name="ExR_fin">'[8]ExR and other Drivers'!$E$6</definedName>
    <definedName name="exrate">'[3]APP 1 Crop Budgets Summary'!$E$7</definedName>
    <definedName name="familylabour">'[2]WP-2-Ap 1-Prices'!$F$69</definedName>
    <definedName name="Fert">'[2]WP-2-Ap 1-Prices'!$F$29</definedName>
    <definedName name="fertilizer">'[2]WP-2-Ap 1-Prices'!$F$46</definedName>
    <definedName name="FMan">[9]base!$C$30</definedName>
    <definedName name="Funding">OFFSET('[1]Title Lists'!$H$2,0,0,COUNTA('[1]Title Lists'!$H:$H)-1,1)</definedName>
    <definedName name="Header_Row">ROW('[6]Loan Amortization Schedule'!$A$17:$IV$17)</definedName>
    <definedName name="hired_labour">'[10]Annex 1 Fin and Economic Prices'!$D$84</definedName>
    <definedName name="hiredlabour">'[2]WP-2-Ap 1-Prices'!$F$70</definedName>
    <definedName name="Interest_Rate">'[6]Loan Amortization Schedule'!$D$6</definedName>
    <definedName name="kWh">'[2]WP-2-Ap 1-Prices'!$F$60</definedName>
    <definedName name="labormonth">'[2]WP-2-Ap 1-Prices'!$F$71</definedName>
    <definedName name="Last_Row">#N/A</definedName>
    <definedName name="last_Row1">#N/A</definedName>
    <definedName name="Last_Row9">#N/A</definedName>
    <definedName name="Loan_Amount">'[6]Loan Amortization Schedule'!$D$5</definedName>
    <definedName name="Loan_Start">'[6]Loan Amortization Schedule'!$D$9</definedName>
    <definedName name="Loan_Years">'[6]Loan Amortization Schedule'!$D$7</definedName>
    <definedName name="manure">'[3]APP1 Financial  Prices'!$D$14</definedName>
    <definedName name="milk">'[3]APP1 Financial  Prices'!$D$13</definedName>
    <definedName name="nmBlankCell">'[11]1b.nominal prices'!$A$3:$A$3</definedName>
    <definedName name="orange">'[2]WP-2-Ap 1-Prices'!$F$9</definedName>
    <definedName name="Outputs">OFFSET('[1]Title Lists'!$D$2,0,0,COUNTA('[1]Title Lists'!$D:$D)-1,1)</definedName>
    <definedName name="Payment_Date">#N/A</definedName>
    <definedName name="peachfresh">'[2]WP-2-Ap 1-Prices'!$F$9</definedName>
    <definedName name="Ploughing">'[2]WP-2-Ap 1-Prices'!$F$24</definedName>
    <definedName name="_xlnm.Print_Area" localSheetId="1">'Detailed Budget'!$A$1:$X$98</definedName>
    <definedName name="_xlnm.Print_Area" localSheetId="2">'Detailed Budget Notes '!$A$1:$I$186</definedName>
    <definedName name="_xlnm.Print_Area">#N/A</definedName>
    <definedName name="Print_Area_Reset">#N/A</definedName>
    <definedName name="q">'[7]Fruit Drying'!$C$80</definedName>
    <definedName name="Slicer_Budget_Categories">#N/A</definedName>
    <definedName name="Slicer_Component">#N/A</definedName>
    <definedName name="Slicer_Output">#N/A</definedName>
    <definedName name="Thir">[9]base!$C$34</definedName>
    <definedName name="totdouar">#N/A</definedName>
    <definedName name="transportation">'[2]WP-2-Ap 1-Prices'!$F$59</definedName>
    <definedName name="USD">'[12]5-12 formationCU'!$B$1</definedName>
    <definedName name="water">'[2]WP-2-Ap 1-Prices'!$F$55</definedName>
    <definedName name="XR">'[13]T 1'!$E$68</definedName>
  </definedNames>
  <calcPr calcId="124519"/>
  <pivotCaches>
    <pivotCache cacheId="0" r:id="rId50"/>
  </pivotCaches>
</workbook>
</file>

<file path=xl/calcChain.xml><?xml version="1.0" encoding="utf-8"?>
<calcChain xmlns="http://schemas.openxmlformats.org/spreadsheetml/2006/main">
  <c r="H21" i="1"/>
  <c r="D21"/>
  <c r="E21"/>
  <c r="F21"/>
  <c r="G21"/>
  <c r="C21"/>
  <c r="H19"/>
  <c r="H18"/>
  <c r="D18"/>
  <c r="E18"/>
  <c r="F18"/>
  <c r="G18"/>
  <c r="D19"/>
  <c r="E19"/>
  <c r="F19"/>
  <c r="G19"/>
  <c r="C19"/>
  <c r="C18"/>
  <c r="I2" i="32"/>
  <c r="M2"/>
  <c r="M16" s="1"/>
  <c r="M32" s="1"/>
  <c r="O2"/>
  <c r="P2"/>
  <c r="R2"/>
  <c r="S2" s="1"/>
  <c r="R3"/>
  <c r="S3" s="1"/>
  <c r="J4"/>
  <c r="L4"/>
  <c r="R4" s="1"/>
  <c r="M4"/>
  <c r="N4"/>
  <c r="O4"/>
  <c r="P4"/>
  <c r="G5"/>
  <c r="J5"/>
  <c r="R5"/>
  <c r="T5" s="1"/>
  <c r="G6"/>
  <c r="J6"/>
  <c r="R6"/>
  <c r="T6" s="1"/>
  <c r="G7"/>
  <c r="J7"/>
  <c r="R7"/>
  <c r="U7" s="1"/>
  <c r="U114" s="1"/>
  <c r="G8"/>
  <c r="J8"/>
  <c r="R8"/>
  <c r="U8" s="1"/>
  <c r="G9"/>
  <c r="J9"/>
  <c r="R9"/>
  <c r="U9" s="1"/>
  <c r="G10"/>
  <c r="J10"/>
  <c r="R10"/>
  <c r="U10" s="1"/>
  <c r="G11"/>
  <c r="J11"/>
  <c r="R11"/>
  <c r="U11" s="1"/>
  <c r="G12"/>
  <c r="J12"/>
  <c r="R12"/>
  <c r="U12" s="1"/>
  <c r="G13"/>
  <c r="J13"/>
  <c r="R13"/>
  <c r="U13" s="1"/>
  <c r="G14"/>
  <c r="J14"/>
  <c r="R14"/>
  <c r="U14" s="1"/>
  <c r="G15"/>
  <c r="G17" s="1"/>
  <c r="J15"/>
  <c r="R15"/>
  <c r="U15" s="1"/>
  <c r="K16"/>
  <c r="L16"/>
  <c r="N16"/>
  <c r="O16"/>
  <c r="P16"/>
  <c r="Q16"/>
  <c r="J17"/>
  <c r="R17"/>
  <c r="U17"/>
  <c r="J18"/>
  <c r="R18"/>
  <c r="U18" s="1"/>
  <c r="J19"/>
  <c r="R19"/>
  <c r="U19" s="1"/>
  <c r="J20"/>
  <c r="R20"/>
  <c r="U20" s="1"/>
  <c r="G21"/>
  <c r="J21"/>
  <c r="R21"/>
  <c r="S21" s="1"/>
  <c r="G22"/>
  <c r="J22"/>
  <c r="R22"/>
  <c r="U22" s="1"/>
  <c r="G23"/>
  <c r="J23"/>
  <c r="L23"/>
  <c r="G24"/>
  <c r="J24"/>
  <c r="R24"/>
  <c r="U24" s="1"/>
  <c r="G25"/>
  <c r="J25"/>
  <c r="R25"/>
  <c r="U25" s="1"/>
  <c r="G26"/>
  <c r="G27" s="1"/>
  <c r="G28" s="1"/>
  <c r="G29" s="1"/>
  <c r="G30" s="1"/>
  <c r="L26"/>
  <c r="R26" s="1"/>
  <c r="U26" s="1"/>
  <c r="M26"/>
  <c r="N26"/>
  <c r="O26"/>
  <c r="O31" s="1"/>
  <c r="O32" s="1"/>
  <c r="P26"/>
  <c r="P31" s="1"/>
  <c r="P32" s="1"/>
  <c r="Q26"/>
  <c r="J27"/>
  <c r="R27"/>
  <c r="T27"/>
  <c r="T31" s="1"/>
  <c r="J28"/>
  <c r="R28"/>
  <c r="V28"/>
  <c r="J29"/>
  <c r="R29"/>
  <c r="U29"/>
  <c r="J30"/>
  <c r="R30"/>
  <c r="U30"/>
  <c r="K31"/>
  <c r="K32" s="1"/>
  <c r="M31"/>
  <c r="N31"/>
  <c r="N32" s="1"/>
  <c r="V31"/>
  <c r="V32" s="1"/>
  <c r="J33"/>
  <c r="R33"/>
  <c r="U33" s="1"/>
  <c r="J34"/>
  <c r="R34"/>
  <c r="U34" s="1"/>
  <c r="G35"/>
  <c r="J35"/>
  <c r="R35"/>
  <c r="T35" s="1"/>
  <c r="G36"/>
  <c r="J36"/>
  <c r="R36"/>
  <c r="T36" s="1"/>
  <c r="K37"/>
  <c r="L37"/>
  <c r="R37" s="1"/>
  <c r="M37"/>
  <c r="N37"/>
  <c r="O37"/>
  <c r="P37"/>
  <c r="Q37"/>
  <c r="S37"/>
  <c r="V37"/>
  <c r="G38"/>
  <c r="J38"/>
  <c r="R38"/>
  <c r="U38"/>
  <c r="U39" s="1"/>
  <c r="K39"/>
  <c r="K40" s="1"/>
  <c r="L39"/>
  <c r="M39"/>
  <c r="N39"/>
  <c r="N40" s="1"/>
  <c r="O39"/>
  <c r="O40" s="1"/>
  <c r="P39"/>
  <c r="Q39"/>
  <c r="R39"/>
  <c r="S39"/>
  <c r="S40" s="1"/>
  <c r="T39"/>
  <c r="V39"/>
  <c r="X39" s="1"/>
  <c r="L40"/>
  <c r="R40" s="1"/>
  <c r="M40"/>
  <c r="P40"/>
  <c r="Q40"/>
  <c r="G41"/>
  <c r="J41"/>
  <c r="R41"/>
  <c r="U41"/>
  <c r="U50" s="1"/>
  <c r="G42"/>
  <c r="J42"/>
  <c r="R42"/>
  <c r="U42"/>
  <c r="G43"/>
  <c r="J43"/>
  <c r="R43"/>
  <c r="U43"/>
  <c r="G44"/>
  <c r="J44"/>
  <c r="R44"/>
  <c r="V44"/>
  <c r="G45"/>
  <c r="J45"/>
  <c r="R45"/>
  <c r="T45"/>
  <c r="T50" s="1"/>
  <c r="G46"/>
  <c r="J46"/>
  <c r="R46"/>
  <c r="U46"/>
  <c r="G47"/>
  <c r="J47"/>
  <c r="R47"/>
  <c r="U47"/>
  <c r="G48"/>
  <c r="J48"/>
  <c r="R48"/>
  <c r="U48"/>
  <c r="G49"/>
  <c r="J49"/>
  <c r="R49"/>
  <c r="U49"/>
  <c r="K50"/>
  <c r="K51" s="1"/>
  <c r="L50"/>
  <c r="M50"/>
  <c r="N50"/>
  <c r="N51" s="1"/>
  <c r="O50"/>
  <c r="O51" s="1"/>
  <c r="P50"/>
  <c r="Q50"/>
  <c r="R50"/>
  <c r="S50"/>
  <c r="S51" s="1"/>
  <c r="V50"/>
  <c r="V51" s="1"/>
  <c r="L51"/>
  <c r="M51"/>
  <c r="P51"/>
  <c r="Q51"/>
  <c r="G52"/>
  <c r="J52"/>
  <c r="R52"/>
  <c r="U52"/>
  <c r="G53"/>
  <c r="J53"/>
  <c r="R53"/>
  <c r="U53"/>
  <c r="G54"/>
  <c r="J54"/>
  <c r="R54"/>
  <c r="U54"/>
  <c r="G55"/>
  <c r="J55"/>
  <c r="R55"/>
  <c r="U55"/>
  <c r="G56"/>
  <c r="J56"/>
  <c r="R56"/>
  <c r="U56"/>
  <c r="G57"/>
  <c r="J57"/>
  <c r="R57"/>
  <c r="V57"/>
  <c r="V103" s="1"/>
  <c r="G58"/>
  <c r="G59" s="1"/>
  <c r="G60" s="1"/>
  <c r="G61" s="1"/>
  <c r="G62" s="1"/>
  <c r="G63" s="1"/>
  <c r="G64" s="1"/>
  <c r="G65" s="1"/>
  <c r="G66" s="1"/>
  <c r="G67" s="1"/>
  <c r="G68" s="1"/>
  <c r="G69" s="1"/>
  <c r="K58"/>
  <c r="L58"/>
  <c r="M58"/>
  <c r="M70" s="1"/>
  <c r="M71" s="1"/>
  <c r="M72" s="1"/>
  <c r="N58"/>
  <c r="O58"/>
  <c r="P58"/>
  <c r="Q58"/>
  <c r="Q70" s="1"/>
  <c r="K59"/>
  <c r="K70" s="1"/>
  <c r="L59"/>
  <c r="R59" s="1"/>
  <c r="U59" s="1"/>
  <c r="K60"/>
  <c r="L60"/>
  <c r="M60"/>
  <c r="N60"/>
  <c r="O60"/>
  <c r="P60"/>
  <c r="Q60"/>
  <c r="R60"/>
  <c r="U60" s="1"/>
  <c r="K61"/>
  <c r="L61"/>
  <c r="L101" s="1"/>
  <c r="M61"/>
  <c r="N61"/>
  <c r="O61"/>
  <c r="P61"/>
  <c r="P101" s="1"/>
  <c r="Q61"/>
  <c r="K62"/>
  <c r="L62"/>
  <c r="M62"/>
  <c r="N62"/>
  <c r="O62"/>
  <c r="P62"/>
  <c r="Q62"/>
  <c r="R62"/>
  <c r="U62" s="1"/>
  <c r="K63"/>
  <c r="L63"/>
  <c r="R63" s="1"/>
  <c r="U63" s="1"/>
  <c r="M63"/>
  <c r="N63"/>
  <c r="O63"/>
  <c r="P63"/>
  <c r="Q63"/>
  <c r="J64"/>
  <c r="R64"/>
  <c r="U64" s="1"/>
  <c r="J65"/>
  <c r="R65"/>
  <c r="U65" s="1"/>
  <c r="L66"/>
  <c r="R66" s="1"/>
  <c r="U66" s="1"/>
  <c r="M66"/>
  <c r="N66"/>
  <c r="O66"/>
  <c r="O101" s="1"/>
  <c r="P66"/>
  <c r="Q66"/>
  <c r="J67"/>
  <c r="R67"/>
  <c r="U67"/>
  <c r="J68"/>
  <c r="R68"/>
  <c r="U68"/>
  <c r="J69"/>
  <c r="R69"/>
  <c r="U69"/>
  <c r="N70"/>
  <c r="S70"/>
  <c r="T70"/>
  <c r="V70"/>
  <c r="X70" s="1"/>
  <c r="K73"/>
  <c r="L73"/>
  <c r="M73"/>
  <c r="N73"/>
  <c r="O73"/>
  <c r="P73"/>
  <c r="Q73"/>
  <c r="R73"/>
  <c r="M85" s="1"/>
  <c r="L78"/>
  <c r="M78"/>
  <c r="L90" s="1"/>
  <c r="N78"/>
  <c r="L93" s="1"/>
  <c r="O78"/>
  <c r="P78"/>
  <c r="Q78"/>
  <c r="L96" s="1"/>
  <c r="R78"/>
  <c r="T78"/>
  <c r="U78"/>
  <c r="V78"/>
  <c r="N79"/>
  <c r="S79"/>
  <c r="T79"/>
  <c r="V79"/>
  <c r="V106" s="1"/>
  <c r="L80"/>
  <c r="L107" s="1"/>
  <c r="M80"/>
  <c r="N80"/>
  <c r="O80"/>
  <c r="O107" s="1"/>
  <c r="P80"/>
  <c r="P107" s="1"/>
  <c r="Q80"/>
  <c r="R80"/>
  <c r="S80"/>
  <c r="S107" s="1"/>
  <c r="L81"/>
  <c r="M81"/>
  <c r="N81"/>
  <c r="N108" s="1"/>
  <c r="O81"/>
  <c r="P81"/>
  <c r="Q81"/>
  <c r="R81"/>
  <c r="R108" s="1"/>
  <c r="S81"/>
  <c r="T81"/>
  <c r="U81"/>
  <c r="V81"/>
  <c r="V108" s="1"/>
  <c r="L100"/>
  <c r="M100"/>
  <c r="N100"/>
  <c r="O100"/>
  <c r="P100"/>
  <c r="Q100"/>
  <c r="R100"/>
  <c r="T100"/>
  <c r="U100"/>
  <c r="V100"/>
  <c r="M101"/>
  <c r="N101"/>
  <c r="T101"/>
  <c r="V101"/>
  <c r="L102"/>
  <c r="M102"/>
  <c r="N102"/>
  <c r="O102"/>
  <c r="P102"/>
  <c r="Q102"/>
  <c r="R102"/>
  <c r="S102"/>
  <c r="U102"/>
  <c r="V102"/>
  <c r="L103"/>
  <c r="M103"/>
  <c r="N103"/>
  <c r="O103"/>
  <c r="P103"/>
  <c r="Q103"/>
  <c r="R103"/>
  <c r="S103"/>
  <c r="T103"/>
  <c r="U103"/>
  <c r="L105"/>
  <c r="M105"/>
  <c r="N105"/>
  <c r="O105"/>
  <c r="P105"/>
  <c r="Q105"/>
  <c r="R105"/>
  <c r="T105"/>
  <c r="U105"/>
  <c r="V105"/>
  <c r="N106"/>
  <c r="T106"/>
  <c r="M107"/>
  <c r="N107"/>
  <c r="Q107"/>
  <c r="R107"/>
  <c r="U107"/>
  <c r="V107"/>
  <c r="L108"/>
  <c r="M108"/>
  <c r="O108"/>
  <c r="P108"/>
  <c r="Q108"/>
  <c r="S108"/>
  <c r="T108"/>
  <c r="U108"/>
  <c r="L111"/>
  <c r="L116" s="1"/>
  <c r="M111"/>
  <c r="N111"/>
  <c r="O111"/>
  <c r="P111"/>
  <c r="P116" s="1"/>
  <c r="Q111"/>
  <c r="L112"/>
  <c r="M112"/>
  <c r="N112"/>
  <c r="N116" s="1"/>
  <c r="O112"/>
  <c r="O116" s="1"/>
  <c r="P112"/>
  <c r="Q112"/>
  <c r="L113"/>
  <c r="M113"/>
  <c r="N113"/>
  <c r="O113"/>
  <c r="P113"/>
  <c r="Q113"/>
  <c r="L114"/>
  <c r="M114"/>
  <c r="N114"/>
  <c r="O114"/>
  <c r="P114"/>
  <c r="Q114"/>
  <c r="R114"/>
  <c r="S114"/>
  <c r="T114"/>
  <c r="V114"/>
  <c r="L115"/>
  <c r="M115"/>
  <c r="N115"/>
  <c r="O115"/>
  <c r="P115"/>
  <c r="Q115"/>
  <c r="M116"/>
  <c r="Q116"/>
  <c r="F22" i="31"/>
  <c r="F23"/>
  <c r="F24"/>
  <c r="F25"/>
  <c r="F26"/>
  <c r="E27"/>
  <c r="F27" s="1"/>
  <c r="E28"/>
  <c r="F28" s="1"/>
  <c r="E29"/>
  <c r="F29" s="1"/>
  <c r="E30"/>
  <c r="F30" s="1"/>
  <c r="E35"/>
  <c r="F35" s="1"/>
  <c r="E36"/>
  <c r="F36" s="1"/>
  <c r="E38"/>
  <c r="F38" s="1"/>
  <c r="E39"/>
  <c r="E44"/>
  <c r="F44" s="1"/>
  <c r="E45"/>
  <c r="F45"/>
  <c r="E46"/>
  <c r="F46" s="1"/>
  <c r="E51"/>
  <c r="F51" s="1"/>
  <c r="E52"/>
  <c r="F52" s="1"/>
  <c r="E58"/>
  <c r="F58" s="1"/>
  <c r="E63"/>
  <c r="F63" s="1"/>
  <c r="E68"/>
  <c r="F68" s="1"/>
  <c r="E70"/>
  <c r="F70" s="1"/>
  <c r="E72"/>
  <c r="F72" s="1"/>
  <c r="E73"/>
  <c r="F73" s="1"/>
  <c r="E74"/>
  <c r="F74" s="1"/>
  <c r="E75"/>
  <c r="E76"/>
  <c r="F76" s="1"/>
  <c r="E77"/>
  <c r="E79"/>
  <c r="F79" s="1"/>
  <c r="E80"/>
  <c r="F80" s="1"/>
  <c r="E85"/>
  <c r="F85" s="1"/>
  <c r="E86"/>
  <c r="F86" s="1"/>
  <c r="F96"/>
  <c r="F95" s="1"/>
  <c r="F103" s="1"/>
  <c r="F97"/>
  <c r="F98"/>
  <c r="F99"/>
  <c r="E105"/>
  <c r="F105" s="1"/>
  <c r="E106"/>
  <c r="F106" s="1"/>
  <c r="E107"/>
  <c r="F107" s="1"/>
  <c r="E113"/>
  <c r="F113" s="1"/>
  <c r="D115" s="1"/>
  <c r="E122"/>
  <c r="F122"/>
  <c r="E124"/>
  <c r="F124" s="1"/>
  <c r="E125"/>
  <c r="F125" s="1"/>
  <c r="E127"/>
  <c r="F127" s="1"/>
  <c r="E129"/>
  <c r="F129" s="1"/>
  <c r="E134"/>
  <c r="F134" s="1"/>
  <c r="E135"/>
  <c r="F135" s="1"/>
  <c r="E140"/>
  <c r="E141"/>
  <c r="F141" s="1"/>
  <c r="E149"/>
  <c r="F149" s="1"/>
  <c r="F150"/>
  <c r="F151"/>
  <c r="F152" s="1"/>
  <c r="E153"/>
  <c r="F153" s="1"/>
  <c r="E154"/>
  <c r="F154" s="1"/>
  <c r="E155"/>
  <c r="F155" s="1"/>
  <c r="F157"/>
  <c r="E157" s="1"/>
  <c r="E159" s="1"/>
  <c r="E158"/>
  <c r="F158"/>
  <c r="G164"/>
  <c r="F165"/>
  <c r="G165" s="1"/>
  <c r="G166"/>
  <c r="G167"/>
  <c r="G168"/>
  <c r="G169"/>
  <c r="F174"/>
  <c r="G174"/>
  <c r="F175"/>
  <c r="G175" s="1"/>
  <c r="F176"/>
  <c r="F177"/>
  <c r="G177" s="1"/>
  <c r="F178"/>
  <c r="G178" s="1"/>
  <c r="F179"/>
  <c r="G179" s="1"/>
  <c r="D181"/>
  <c r="D5" i="1"/>
  <c r="E5"/>
  <c r="F5"/>
  <c r="G5"/>
  <c r="H5"/>
  <c r="I5"/>
  <c r="J5"/>
  <c r="K5"/>
  <c r="L5"/>
  <c r="M5"/>
  <c r="N5"/>
  <c r="O5"/>
  <c r="P5"/>
  <c r="Q5"/>
  <c r="R5"/>
  <c r="S5"/>
  <c r="T5"/>
  <c r="U5"/>
  <c r="V5"/>
  <c r="D6"/>
  <c r="E6"/>
  <c r="F6"/>
  <c r="G6"/>
  <c r="H6"/>
  <c r="I6"/>
  <c r="J6"/>
  <c r="K6"/>
  <c r="L6"/>
  <c r="M6"/>
  <c r="N6"/>
  <c r="O6"/>
  <c r="P6"/>
  <c r="Q6"/>
  <c r="R6"/>
  <c r="S6"/>
  <c r="T6"/>
  <c r="U6"/>
  <c r="V6"/>
  <c r="D7"/>
  <c r="E7"/>
  <c r="F7"/>
  <c r="G7"/>
  <c r="H7"/>
  <c r="I7"/>
  <c r="J7"/>
  <c r="K7"/>
  <c r="L7"/>
  <c r="M7"/>
  <c r="N7"/>
  <c r="O7"/>
  <c r="P7"/>
  <c r="Q7"/>
  <c r="R7"/>
  <c r="S7"/>
  <c r="T7"/>
  <c r="U7"/>
  <c r="V7"/>
  <c r="D8"/>
  <c r="E8"/>
  <c r="F8"/>
  <c r="G8"/>
  <c r="H8"/>
  <c r="I8"/>
  <c r="J8"/>
  <c r="K8"/>
  <c r="L8"/>
  <c r="M8"/>
  <c r="N8"/>
  <c r="O8"/>
  <c r="P8"/>
  <c r="Q8"/>
  <c r="R8"/>
  <c r="S8"/>
  <c r="T8"/>
  <c r="U8"/>
  <c r="V8"/>
  <c r="D9"/>
  <c r="E9"/>
  <c r="F9"/>
  <c r="G9"/>
  <c r="H9"/>
  <c r="I9"/>
  <c r="J9"/>
  <c r="K9"/>
  <c r="L9"/>
  <c r="M9"/>
  <c r="N9"/>
  <c r="O9"/>
  <c r="P9"/>
  <c r="Q9"/>
  <c r="R9"/>
  <c r="S9"/>
  <c r="T9"/>
  <c r="U9"/>
  <c r="V9"/>
  <c r="D10"/>
  <c r="E10"/>
  <c r="F10"/>
  <c r="G10"/>
  <c r="H10"/>
  <c r="I10"/>
  <c r="J10"/>
  <c r="K10"/>
  <c r="L10"/>
  <c r="M10"/>
  <c r="N10"/>
  <c r="O10"/>
  <c r="P10"/>
  <c r="Q10"/>
  <c r="R10"/>
  <c r="S10"/>
  <c r="T10"/>
  <c r="U10"/>
  <c r="V10"/>
  <c r="D11"/>
  <c r="E11"/>
  <c r="F11"/>
  <c r="G11"/>
  <c r="H11"/>
  <c r="I11"/>
  <c r="J11"/>
  <c r="K11"/>
  <c r="L11"/>
  <c r="M11"/>
  <c r="N11"/>
  <c r="O11"/>
  <c r="P11"/>
  <c r="Q11"/>
  <c r="R11"/>
  <c r="S11"/>
  <c r="T11"/>
  <c r="U11"/>
  <c r="V11"/>
  <c r="D12"/>
  <c r="E12"/>
  <c r="F12"/>
  <c r="G12"/>
  <c r="H12"/>
  <c r="I12"/>
  <c r="J12"/>
  <c r="K12"/>
  <c r="L12"/>
  <c r="M12"/>
  <c r="N12"/>
  <c r="O12"/>
  <c r="P12"/>
  <c r="Q12"/>
  <c r="R12"/>
  <c r="S12"/>
  <c r="T12"/>
  <c r="U12"/>
  <c r="V12"/>
  <c r="D13"/>
  <c r="E13"/>
  <c r="F13"/>
  <c r="G13"/>
  <c r="H13"/>
  <c r="I13"/>
  <c r="J13"/>
  <c r="K13"/>
  <c r="L13"/>
  <c r="M13"/>
  <c r="N13"/>
  <c r="O13"/>
  <c r="P13"/>
  <c r="Q13"/>
  <c r="R13"/>
  <c r="S13"/>
  <c r="T13"/>
  <c r="U13"/>
  <c r="V13"/>
  <c r="D14"/>
  <c r="E14"/>
  <c r="F14"/>
  <c r="G14"/>
  <c r="H14"/>
  <c r="I14"/>
  <c r="J14"/>
  <c r="K14"/>
  <c r="L14"/>
  <c r="M14"/>
  <c r="N14"/>
  <c r="O14"/>
  <c r="P14"/>
  <c r="Q14"/>
  <c r="R14"/>
  <c r="S14"/>
  <c r="T14"/>
  <c r="U14"/>
  <c r="V14"/>
  <c r="C14"/>
  <c r="C13"/>
  <c r="C12"/>
  <c r="C11"/>
  <c r="C10"/>
  <c r="C9"/>
  <c r="C8"/>
  <c r="C7"/>
  <c r="C6"/>
  <c r="C5"/>
  <c r="C28" i="29"/>
  <c r="N11" i="14"/>
  <c r="M11"/>
  <c r="L11"/>
  <c r="K11"/>
  <c r="J11"/>
  <c r="I11"/>
  <c r="H11"/>
  <c r="G11"/>
  <c r="F11"/>
  <c r="E11"/>
  <c r="D11"/>
  <c r="C11"/>
  <c r="W39" i="32" l="1"/>
  <c r="U40"/>
  <c r="T102"/>
  <c r="T37"/>
  <c r="X31"/>
  <c r="S101"/>
  <c r="S106" s="1"/>
  <c r="S31"/>
  <c r="T16"/>
  <c r="X16" s="1"/>
  <c r="T80"/>
  <c r="T107" s="1"/>
  <c r="N71"/>
  <c r="N72" s="1"/>
  <c r="O106"/>
  <c r="P106"/>
  <c r="L106"/>
  <c r="W40"/>
  <c r="K71"/>
  <c r="K72" s="1"/>
  <c r="R51"/>
  <c r="R16"/>
  <c r="S100"/>
  <c r="S78"/>
  <c r="S16"/>
  <c r="X50"/>
  <c r="T51"/>
  <c r="W50"/>
  <c r="U51"/>
  <c r="U4"/>
  <c r="W51"/>
  <c r="E115" i="31"/>
  <c r="U37" i="32"/>
  <c r="W37" s="1"/>
  <c r="D143" i="31"/>
  <c r="E143" s="1"/>
  <c r="L92" i="32"/>
  <c r="O79"/>
  <c r="L94" s="1"/>
  <c r="O70"/>
  <c r="O71" s="1"/>
  <c r="O72" s="1"/>
  <c r="R58"/>
  <c r="Q23"/>
  <c r="P79"/>
  <c r="L79"/>
  <c r="P70"/>
  <c r="P71" s="1"/>
  <c r="P72" s="1"/>
  <c r="L70"/>
  <c r="R61"/>
  <c r="U61" s="1"/>
  <c r="V40"/>
  <c r="V73" s="1"/>
  <c r="L31"/>
  <c r="G186" i="31"/>
  <c r="I186" s="1"/>
  <c r="M79" i="32"/>
  <c r="M106" s="1"/>
  <c r="D88" i="31"/>
  <c r="G185"/>
  <c r="D184"/>
  <c r="C15" i="1"/>
  <c r="C4" i="29" s="1"/>
  <c r="B12" i="1"/>
  <c r="R31" i="32" l="1"/>
  <c r="L32"/>
  <c r="R32" s="1"/>
  <c r="Q31"/>
  <c r="Q32" s="1"/>
  <c r="Q71" s="1"/>
  <c r="Q72" s="1"/>
  <c r="Q79"/>
  <c r="Q101"/>
  <c r="Q106" s="1"/>
  <c r="U16"/>
  <c r="W16" s="1"/>
  <c r="T32"/>
  <c r="X32" s="1"/>
  <c r="R23"/>
  <c r="U58"/>
  <c r="R101"/>
  <c r="R70"/>
  <c r="L97"/>
  <c r="L95"/>
  <c r="L89"/>
  <c r="L91"/>
  <c r="X51"/>
  <c r="S32"/>
  <c r="X37"/>
  <c r="T40"/>
  <c r="X40" s="1"/>
  <c r="S105"/>
  <c r="D182" i="31"/>
  <c r="C9" i="29"/>
  <c r="C6"/>
  <c r="C8"/>
  <c r="C5"/>
  <c r="C7"/>
  <c r="E20" i="1"/>
  <c r="E22" s="1"/>
  <c r="F20"/>
  <c r="F22" s="1"/>
  <c r="F11" i="29" s="1"/>
  <c r="C20" i="1"/>
  <c r="C22" s="1"/>
  <c r="C11" i="29" s="1"/>
  <c r="D20" i="1"/>
  <c r="D22" s="1"/>
  <c r="D11" i="29" s="1"/>
  <c r="H20" i="1"/>
  <c r="H22" s="1"/>
  <c r="H11" i="29" s="1"/>
  <c r="B18" i="1"/>
  <c r="B19" s="1"/>
  <c r="B20" s="1"/>
  <c r="B21" s="1"/>
  <c r="B22" s="1"/>
  <c r="B24" s="1"/>
  <c r="L98" i="32" l="1"/>
  <c r="S72"/>
  <c r="U23"/>
  <c r="R79"/>
  <c r="U70"/>
  <c r="R106"/>
  <c r="L71"/>
  <c r="T73"/>
  <c r="E11" i="29"/>
  <c r="E13" s="1"/>
  <c r="F13"/>
  <c r="F12"/>
  <c r="F14"/>
  <c r="D13"/>
  <c r="D27"/>
  <c r="D12"/>
  <c r="D14"/>
  <c r="I22" i="1"/>
  <c r="I11" i="29" s="1"/>
  <c r="D26"/>
  <c r="C24" i="1"/>
  <c r="G20"/>
  <c r="G22" s="1"/>
  <c r="G11" i="29" s="1"/>
  <c r="R71" i="32" l="1"/>
  <c r="L72"/>
  <c r="R72" s="1"/>
  <c r="U31"/>
  <c r="U79"/>
  <c r="W70"/>
  <c r="E181" i="31" s="1"/>
  <c r="U101" i="32"/>
  <c r="U106" s="1"/>
  <c r="E27" i="29"/>
  <c r="E14"/>
  <c r="E12"/>
  <c r="G14"/>
  <c r="G12"/>
  <c r="G13"/>
  <c r="J22" i="1"/>
  <c r="J11" i="29" s="1"/>
  <c r="H12"/>
  <c r="H14"/>
  <c r="H13"/>
  <c r="C26"/>
  <c r="C14"/>
  <c r="C20" s="1"/>
  <c r="C27"/>
  <c r="C13"/>
  <c r="C19" s="1"/>
  <c r="C12"/>
  <c r="C18" s="1"/>
  <c r="C17"/>
  <c r="C25"/>
  <c r="C24"/>
  <c r="C22"/>
  <c r="C23"/>
  <c r="C21"/>
  <c r="U32" i="32" l="1"/>
  <c r="W31"/>
  <c r="E184" i="31"/>
  <c r="I185"/>
  <c r="E182"/>
  <c r="I12" i="29"/>
  <c r="I13"/>
  <c r="I14"/>
  <c r="K22" i="1"/>
  <c r="K11" i="29" s="1"/>
  <c r="W32" i="32" l="1"/>
  <c r="E88" i="31" s="1"/>
  <c r="U72" i="32"/>
  <c r="J12" i="29"/>
  <c r="J14"/>
  <c r="J13"/>
  <c r="L22" i="1"/>
  <c r="L11" i="29" s="1"/>
  <c r="K14" l="1"/>
  <c r="K13"/>
  <c r="K12"/>
  <c r="M22" i="1"/>
  <c r="M11" i="29" s="1"/>
  <c r="B29" i="7"/>
  <c r="B37" s="1"/>
  <c r="V23"/>
  <c r="U23"/>
  <c r="T23"/>
  <c r="S23"/>
  <c r="R23"/>
  <c r="Q23"/>
  <c r="P23"/>
  <c r="O23"/>
  <c r="N23"/>
  <c r="M23"/>
  <c r="L23"/>
  <c r="K23"/>
  <c r="J23"/>
  <c r="I23"/>
  <c r="H23"/>
  <c r="G23"/>
  <c r="F23"/>
  <c r="E23"/>
  <c r="D23"/>
  <c r="C23"/>
  <c r="V22"/>
  <c r="U22"/>
  <c r="T22"/>
  <c r="S22"/>
  <c r="R22"/>
  <c r="Q22"/>
  <c r="P22"/>
  <c r="O22"/>
  <c r="N22"/>
  <c r="M22"/>
  <c r="L22"/>
  <c r="K22"/>
  <c r="J22"/>
  <c r="I22"/>
  <c r="H22"/>
  <c r="G22"/>
  <c r="F22"/>
  <c r="E22"/>
  <c r="D22"/>
  <c r="C22"/>
  <c r="B20"/>
  <c r="B22" s="1"/>
  <c r="B23" s="1"/>
  <c r="B25" s="1"/>
  <c r="B26" s="1"/>
  <c r="V18"/>
  <c r="U18"/>
  <c r="T18"/>
  <c r="S18"/>
  <c r="R18"/>
  <c r="Q18"/>
  <c r="P18"/>
  <c r="O18"/>
  <c r="N18"/>
  <c r="M18"/>
  <c r="L18"/>
  <c r="K18"/>
  <c r="J18"/>
  <c r="I18"/>
  <c r="H18"/>
  <c r="G18"/>
  <c r="F18"/>
  <c r="E18"/>
  <c r="D18"/>
  <c r="C18"/>
  <c r="V17"/>
  <c r="U17"/>
  <c r="T17"/>
  <c r="S17"/>
  <c r="R17"/>
  <c r="Q17"/>
  <c r="P17"/>
  <c r="O17"/>
  <c r="N17"/>
  <c r="M17"/>
  <c r="L17"/>
  <c r="K17"/>
  <c r="J17"/>
  <c r="I17"/>
  <c r="H17"/>
  <c r="G17"/>
  <c r="F17"/>
  <c r="E17"/>
  <c r="D17"/>
  <c r="C17"/>
  <c r="V16"/>
  <c r="U16"/>
  <c r="T16"/>
  <c r="S16"/>
  <c r="R16"/>
  <c r="Q16"/>
  <c r="P16"/>
  <c r="O16"/>
  <c r="N16"/>
  <c r="M16"/>
  <c r="L16"/>
  <c r="K16"/>
  <c r="J16"/>
  <c r="I16"/>
  <c r="H16"/>
  <c r="G16"/>
  <c r="F16"/>
  <c r="E16"/>
  <c r="D16"/>
  <c r="C16"/>
  <c r="V15"/>
  <c r="U15"/>
  <c r="T15"/>
  <c r="S15"/>
  <c r="R15"/>
  <c r="Q15"/>
  <c r="P15"/>
  <c r="O15"/>
  <c r="N15"/>
  <c r="M15"/>
  <c r="L15"/>
  <c r="K15"/>
  <c r="J15"/>
  <c r="I15"/>
  <c r="H15"/>
  <c r="G15"/>
  <c r="F15"/>
  <c r="E15"/>
  <c r="D15"/>
  <c r="C15"/>
  <c r="V14"/>
  <c r="V19" s="1"/>
  <c r="U14"/>
  <c r="U19" s="1"/>
  <c r="T14"/>
  <c r="T19" s="1"/>
  <c r="S14"/>
  <c r="S19" s="1"/>
  <c r="R14"/>
  <c r="R19" s="1"/>
  <c r="Q14"/>
  <c r="Q19" s="1"/>
  <c r="P14"/>
  <c r="P19" s="1"/>
  <c r="O14"/>
  <c r="O19" s="1"/>
  <c r="N14"/>
  <c r="N19" s="1"/>
  <c r="M14"/>
  <c r="M19" s="1"/>
  <c r="L14"/>
  <c r="L19" s="1"/>
  <c r="K14"/>
  <c r="K19" s="1"/>
  <c r="J14"/>
  <c r="J19" s="1"/>
  <c r="I14"/>
  <c r="I19" s="1"/>
  <c r="H14"/>
  <c r="H19" s="1"/>
  <c r="G14"/>
  <c r="F14"/>
  <c r="E14"/>
  <c r="D14"/>
  <c r="C14"/>
  <c r="D13"/>
  <c r="D19" s="1"/>
  <c r="C13"/>
  <c r="B13"/>
  <c r="H10"/>
  <c r="I10" s="1"/>
  <c r="J10" s="1"/>
  <c r="K10" s="1"/>
  <c r="L10" s="1"/>
  <c r="M10" s="1"/>
  <c r="N10" s="1"/>
  <c r="O10" s="1"/>
  <c r="P10" s="1"/>
  <c r="Q10" s="1"/>
  <c r="R10" s="1"/>
  <c r="S10" s="1"/>
  <c r="T10" s="1"/>
  <c r="U10" s="1"/>
  <c r="V10" s="1"/>
  <c r="G10"/>
  <c r="F10"/>
  <c r="E10"/>
  <c r="D10"/>
  <c r="C10"/>
  <c r="B10"/>
  <c r="B11" s="1"/>
  <c r="V9"/>
  <c r="U9"/>
  <c r="T9"/>
  <c r="S9"/>
  <c r="R9"/>
  <c r="Q9"/>
  <c r="P9"/>
  <c r="O9"/>
  <c r="N9"/>
  <c r="M9"/>
  <c r="L9"/>
  <c r="K9"/>
  <c r="J9"/>
  <c r="I9"/>
  <c r="H9"/>
  <c r="G9"/>
  <c r="F9"/>
  <c r="E9"/>
  <c r="D9"/>
  <c r="C9"/>
  <c r="V8"/>
  <c r="U8"/>
  <c r="T8"/>
  <c r="S8"/>
  <c r="R8"/>
  <c r="Q8"/>
  <c r="P8"/>
  <c r="O8"/>
  <c r="N8"/>
  <c r="M8"/>
  <c r="L8"/>
  <c r="K8"/>
  <c r="J8"/>
  <c r="I8"/>
  <c r="H8"/>
  <c r="G8"/>
  <c r="F8"/>
  <c r="E8"/>
  <c r="D8"/>
  <c r="C8"/>
  <c r="V7"/>
  <c r="U7"/>
  <c r="T7"/>
  <c r="S7"/>
  <c r="R7"/>
  <c r="Q7"/>
  <c r="P7"/>
  <c r="O7"/>
  <c r="N7"/>
  <c r="M7"/>
  <c r="L7"/>
  <c r="K7"/>
  <c r="J7"/>
  <c r="I7"/>
  <c r="H7"/>
  <c r="G7"/>
  <c r="F7"/>
  <c r="E7"/>
  <c r="D7"/>
  <c r="C7"/>
  <c r="V6"/>
  <c r="U6"/>
  <c r="T6"/>
  <c r="S6"/>
  <c r="R6"/>
  <c r="Q6"/>
  <c r="P6"/>
  <c r="O6"/>
  <c r="N6"/>
  <c r="M6"/>
  <c r="L6"/>
  <c r="K6"/>
  <c r="J6"/>
  <c r="I6"/>
  <c r="H6"/>
  <c r="G6"/>
  <c r="F6"/>
  <c r="E6"/>
  <c r="D6"/>
  <c r="C6"/>
  <c r="V5"/>
  <c r="V11" s="1"/>
  <c r="U5"/>
  <c r="U11" s="1"/>
  <c r="T5"/>
  <c r="T11" s="1"/>
  <c r="S5"/>
  <c r="S11" s="1"/>
  <c r="R5"/>
  <c r="R11" s="1"/>
  <c r="Q5"/>
  <c r="Q11" s="1"/>
  <c r="P5"/>
  <c r="P11" s="1"/>
  <c r="O5"/>
  <c r="O11" s="1"/>
  <c r="N5"/>
  <c r="N11" s="1"/>
  <c r="M5"/>
  <c r="M11" s="1"/>
  <c r="L5"/>
  <c r="L11" s="1"/>
  <c r="K5"/>
  <c r="K11" s="1"/>
  <c r="J5"/>
  <c r="J11" s="1"/>
  <c r="I5"/>
  <c r="I11" s="1"/>
  <c r="H5"/>
  <c r="H11" s="1"/>
  <c r="G5"/>
  <c r="G11" s="1"/>
  <c r="F5"/>
  <c r="F11" s="1"/>
  <c r="E5"/>
  <c r="E11" s="1"/>
  <c r="D5"/>
  <c r="D11" s="1"/>
  <c r="C5"/>
  <c r="C11" s="1"/>
  <c r="N22" i="1" l="1"/>
  <c r="N11" i="29" s="1"/>
  <c r="L13"/>
  <c r="L12"/>
  <c r="L14"/>
  <c r="G54" i="7"/>
  <c r="K54"/>
  <c r="J20"/>
  <c r="J25" s="1"/>
  <c r="O54"/>
  <c r="N20"/>
  <c r="N26" s="1"/>
  <c r="S54"/>
  <c r="R20"/>
  <c r="R25" s="1"/>
  <c r="W54"/>
  <c r="V20"/>
  <c r="V26" s="1"/>
  <c r="B44"/>
  <c r="F54"/>
  <c r="J54"/>
  <c r="I20"/>
  <c r="N54"/>
  <c r="M20"/>
  <c r="R54"/>
  <c r="Q20"/>
  <c r="V54"/>
  <c r="U20"/>
  <c r="K25"/>
  <c r="S25"/>
  <c r="O26"/>
  <c r="N25"/>
  <c r="V25"/>
  <c r="J26"/>
  <c r="R26"/>
  <c r="D20"/>
  <c r="D26" s="1"/>
  <c r="E54"/>
  <c r="H20"/>
  <c r="H25" s="1"/>
  <c r="I54"/>
  <c r="L20"/>
  <c r="L26" s="1"/>
  <c r="M54"/>
  <c r="P20"/>
  <c r="P25" s="1"/>
  <c r="Q54"/>
  <c r="T20"/>
  <c r="T26" s="1"/>
  <c r="U54"/>
  <c r="I25"/>
  <c r="M25"/>
  <c r="Q25"/>
  <c r="U25"/>
  <c r="I26"/>
  <c r="M26"/>
  <c r="Q26"/>
  <c r="U26"/>
  <c r="D54"/>
  <c r="H54"/>
  <c r="K20"/>
  <c r="K26" s="1"/>
  <c r="L54"/>
  <c r="O20"/>
  <c r="O25" s="1"/>
  <c r="P54"/>
  <c r="S20"/>
  <c r="S26" s="1"/>
  <c r="T54"/>
  <c r="D25"/>
  <c r="L25"/>
  <c r="T25"/>
  <c r="H26"/>
  <c r="P26"/>
  <c r="C19"/>
  <c r="E13"/>
  <c r="O22" i="1" l="1"/>
  <c r="O11" i="29" s="1"/>
  <c r="M12"/>
  <c r="M14"/>
  <c r="M13"/>
  <c r="E19" i="7"/>
  <c r="E20" s="1"/>
  <c r="F13"/>
  <c r="C20"/>
  <c r="P22" i="1" l="1"/>
  <c r="P11" i="29" s="1"/>
  <c r="N13"/>
  <c r="N12"/>
  <c r="N14"/>
  <c r="E26" i="7"/>
  <c r="E25"/>
  <c r="F19"/>
  <c r="F20" s="1"/>
  <c r="G13"/>
  <c r="C26"/>
  <c r="C25"/>
  <c r="Q22" i="1" l="1"/>
  <c r="Q11" i="29" s="1"/>
  <c r="O14"/>
  <c r="O13"/>
  <c r="O12"/>
  <c r="G19" i="7"/>
  <c r="G20" s="1"/>
  <c r="C53"/>
  <c r="C55" s="1"/>
  <c r="D55" s="1"/>
  <c r="E55" s="1"/>
  <c r="F55" s="1"/>
  <c r="G55" s="1"/>
  <c r="H55" s="1"/>
  <c r="B34"/>
  <c r="F26"/>
  <c r="F25"/>
  <c r="B31"/>
  <c r="B32"/>
  <c r="R22" i="1" l="1"/>
  <c r="R11" i="29" s="1"/>
  <c r="P12"/>
  <c r="P14"/>
  <c r="P13"/>
  <c r="G26" i="7"/>
  <c r="B46" s="1"/>
  <c r="G25"/>
  <c r="B40" s="1"/>
  <c r="B33"/>
  <c r="B39"/>
  <c r="C57"/>
  <c r="I55"/>
  <c r="J55" s="1"/>
  <c r="K55" s="1"/>
  <c r="L55" s="1"/>
  <c r="M55" s="1"/>
  <c r="N55" s="1"/>
  <c r="O55" s="1"/>
  <c r="P55" s="1"/>
  <c r="Q55" s="1"/>
  <c r="R55" s="1"/>
  <c r="S55" s="1"/>
  <c r="T55" s="1"/>
  <c r="U55" s="1"/>
  <c r="V55" s="1"/>
  <c r="W55" s="1"/>
  <c r="S22" i="1" l="1"/>
  <c r="S11" i="29" s="1"/>
  <c r="Q12"/>
  <c r="Q13"/>
  <c r="Q14"/>
  <c r="B41" i="7"/>
  <c r="B47"/>
  <c r="B48"/>
  <c r="T22" i="1" l="1"/>
  <c r="T11" i="29" s="1"/>
  <c r="R12"/>
  <c r="R14"/>
  <c r="R13"/>
  <c r="C9" i="2"/>
  <c r="C8"/>
  <c r="C7"/>
  <c r="C6"/>
  <c r="C5"/>
  <c r="C4"/>
  <c r="D15" i="1"/>
  <c r="D4" i="29" s="1"/>
  <c r="F15" i="1"/>
  <c r="F4" i="29" s="1"/>
  <c r="H15" i="1"/>
  <c r="H4" i="29" s="1"/>
  <c r="J15" i="1"/>
  <c r="J4" i="29" s="1"/>
  <c r="L15" i="1"/>
  <c r="L4" i="29" s="1"/>
  <c r="N15" i="1"/>
  <c r="N4" i="29" s="1"/>
  <c r="P15" i="1"/>
  <c r="P4" i="29" s="1"/>
  <c r="R15" i="1"/>
  <c r="R4" i="29" s="1"/>
  <c r="T15" i="1"/>
  <c r="T4" i="29" s="1"/>
  <c r="V15" i="1"/>
  <c r="V4" i="29" s="1"/>
  <c r="L13" i="14"/>
  <c r="J13"/>
  <c r="H13"/>
  <c r="F13"/>
  <c r="E13"/>
  <c r="D13"/>
  <c r="C13"/>
  <c r="L12"/>
  <c r="J12"/>
  <c r="F12"/>
  <c r="E12"/>
  <c r="D12"/>
  <c r="C12"/>
  <c r="L10"/>
  <c r="J10"/>
  <c r="H10"/>
  <c r="F10"/>
  <c r="E10"/>
  <c r="D10"/>
  <c r="C10"/>
  <c r="N9"/>
  <c r="M9"/>
  <c r="L9"/>
  <c r="K9"/>
  <c r="J9"/>
  <c r="I9"/>
  <c r="H9"/>
  <c r="E9"/>
  <c r="G9"/>
  <c r="F9"/>
  <c r="D9"/>
  <c r="C9"/>
  <c r="N8"/>
  <c r="M8"/>
  <c r="L8"/>
  <c r="K8"/>
  <c r="J8"/>
  <c r="I8"/>
  <c r="H8"/>
  <c r="G8"/>
  <c r="F8"/>
  <c r="E8"/>
  <c r="D8"/>
  <c r="C8"/>
  <c r="N7"/>
  <c r="M7"/>
  <c r="L7"/>
  <c r="K7"/>
  <c r="J7"/>
  <c r="I7"/>
  <c r="H7"/>
  <c r="G7"/>
  <c r="F7"/>
  <c r="E7"/>
  <c r="D7"/>
  <c r="C7"/>
  <c r="N6"/>
  <c r="M6"/>
  <c r="L6"/>
  <c r="K6"/>
  <c r="J6"/>
  <c r="I6"/>
  <c r="H6"/>
  <c r="G6"/>
  <c r="F6"/>
  <c r="E6"/>
  <c r="D6"/>
  <c r="C6"/>
  <c r="N5"/>
  <c r="M5"/>
  <c r="L5"/>
  <c r="K5"/>
  <c r="J5"/>
  <c r="I5"/>
  <c r="H5"/>
  <c r="G5"/>
  <c r="F5"/>
  <c r="E5"/>
  <c r="D5"/>
  <c r="C5"/>
  <c r="N4"/>
  <c r="M4"/>
  <c r="U22" i="1" l="1"/>
  <c r="U11" i="29" s="1"/>
  <c r="S12"/>
  <c r="S14"/>
  <c r="S13"/>
  <c r="P6"/>
  <c r="P22" s="1"/>
  <c r="P8"/>
  <c r="P24" s="1"/>
  <c r="P17"/>
  <c r="P5"/>
  <c r="P21" s="1"/>
  <c r="P7"/>
  <c r="P23" s="1"/>
  <c r="P9"/>
  <c r="P25" s="1"/>
  <c r="R27"/>
  <c r="P20"/>
  <c r="Q26"/>
  <c r="P18"/>
  <c r="P19"/>
  <c r="H7"/>
  <c r="H23" s="1"/>
  <c r="H9"/>
  <c r="H25" s="1"/>
  <c r="J27"/>
  <c r="H6"/>
  <c r="H22" s="1"/>
  <c r="H5"/>
  <c r="H21" s="1"/>
  <c r="H8"/>
  <c r="H24" s="1"/>
  <c r="H20"/>
  <c r="H17"/>
  <c r="H18"/>
  <c r="I26"/>
  <c r="H19"/>
  <c r="R20"/>
  <c r="R7"/>
  <c r="R23" s="1"/>
  <c r="R19"/>
  <c r="R6"/>
  <c r="R22" s="1"/>
  <c r="R8"/>
  <c r="R24" s="1"/>
  <c r="S26"/>
  <c r="R17"/>
  <c r="T27"/>
  <c r="R5"/>
  <c r="R21" s="1"/>
  <c r="R9"/>
  <c r="R25" s="1"/>
  <c r="R18"/>
  <c r="J9"/>
  <c r="J25" s="1"/>
  <c r="J6"/>
  <c r="J22" s="1"/>
  <c r="J5"/>
  <c r="J21" s="1"/>
  <c r="J8"/>
  <c r="J24" s="1"/>
  <c r="J19"/>
  <c r="L27"/>
  <c r="J17"/>
  <c r="J20"/>
  <c r="J7"/>
  <c r="J23" s="1"/>
  <c r="K26"/>
  <c r="J18"/>
  <c r="T6"/>
  <c r="T22" s="1"/>
  <c r="T8"/>
  <c r="T24" s="1"/>
  <c r="T5"/>
  <c r="T21" s="1"/>
  <c r="T7"/>
  <c r="T23" s="1"/>
  <c r="T9"/>
  <c r="T25" s="1"/>
  <c r="T17"/>
  <c r="L6"/>
  <c r="L22" s="1"/>
  <c r="L5"/>
  <c r="L21" s="1"/>
  <c r="L7"/>
  <c r="L23" s="1"/>
  <c r="L9"/>
  <c r="L25" s="1"/>
  <c r="L8"/>
  <c r="L24" s="1"/>
  <c r="L17"/>
  <c r="N27"/>
  <c r="L18"/>
  <c r="M26"/>
  <c r="L20"/>
  <c r="L19"/>
  <c r="D17"/>
  <c r="D7"/>
  <c r="D23" s="1"/>
  <c r="D9"/>
  <c r="D25" s="1"/>
  <c r="D5"/>
  <c r="D21" s="1"/>
  <c r="D8"/>
  <c r="D24" s="1"/>
  <c r="D6"/>
  <c r="D22" s="1"/>
  <c r="F27"/>
  <c r="D20"/>
  <c r="D19"/>
  <c r="D18"/>
  <c r="E26"/>
  <c r="V7"/>
  <c r="V9"/>
  <c r="V5"/>
  <c r="V6"/>
  <c r="V8"/>
  <c r="N6"/>
  <c r="N22" s="1"/>
  <c r="N8"/>
  <c r="N24" s="1"/>
  <c r="N20"/>
  <c r="N7"/>
  <c r="N23" s="1"/>
  <c r="N5"/>
  <c r="N21" s="1"/>
  <c r="N17"/>
  <c r="N9"/>
  <c r="N25" s="1"/>
  <c r="P27"/>
  <c r="N19"/>
  <c r="N18"/>
  <c r="O26"/>
  <c r="F6"/>
  <c r="F22" s="1"/>
  <c r="F5"/>
  <c r="F21" s="1"/>
  <c r="F8"/>
  <c r="F24" s="1"/>
  <c r="H27"/>
  <c r="F7"/>
  <c r="F23" s="1"/>
  <c r="F9"/>
  <c r="F25" s="1"/>
  <c r="F17"/>
  <c r="F18"/>
  <c r="F19"/>
  <c r="F20"/>
  <c r="G26"/>
  <c r="U15" i="1"/>
  <c r="U4" i="29" s="1"/>
  <c r="Q15" i="1"/>
  <c r="Q4" i="29" s="1"/>
  <c r="M15" i="1"/>
  <c r="M4" i="29" s="1"/>
  <c r="I15" i="1"/>
  <c r="I4" i="29" s="1"/>
  <c r="E15" i="1"/>
  <c r="E4" i="29" s="1"/>
  <c r="S15" i="1"/>
  <c r="S4" i="29" s="1"/>
  <c r="O15" i="1"/>
  <c r="O4" i="29" s="1"/>
  <c r="K15" i="1"/>
  <c r="K4" i="29" s="1"/>
  <c r="G15" i="1"/>
  <c r="G4" i="29" s="1"/>
  <c r="R24" i="1"/>
  <c r="J24"/>
  <c r="T24"/>
  <c r="P24"/>
  <c r="L24"/>
  <c r="H24"/>
  <c r="D24"/>
  <c r="N24"/>
  <c r="F24"/>
  <c r="M24"/>
  <c r="L4" i="14"/>
  <c r="J4"/>
  <c r="H4"/>
  <c r="F4"/>
  <c r="E4"/>
  <c r="D4"/>
  <c r="C4"/>
  <c r="V22" i="1" l="1"/>
  <c r="V11" i="29" s="1"/>
  <c r="T13"/>
  <c r="T19" s="1"/>
  <c r="T12"/>
  <c r="T18" s="1"/>
  <c r="T14"/>
  <c r="T20" s="1"/>
  <c r="G24" i="1"/>
  <c r="U24"/>
  <c r="Q24"/>
  <c r="E24"/>
  <c r="O24"/>
  <c r="N26" i="29"/>
  <c r="M7"/>
  <c r="M23" s="1"/>
  <c r="O27"/>
  <c r="M5"/>
  <c r="M21" s="1"/>
  <c r="M17"/>
  <c r="M9"/>
  <c r="M25" s="1"/>
  <c r="M6"/>
  <c r="M22" s="1"/>
  <c r="M8"/>
  <c r="M24" s="1"/>
  <c r="M18"/>
  <c r="M20"/>
  <c r="M19"/>
  <c r="T26"/>
  <c r="S6"/>
  <c r="S22" s="1"/>
  <c r="S8"/>
  <c r="S24" s="1"/>
  <c r="S17"/>
  <c r="S9"/>
  <c r="S25" s="1"/>
  <c r="S5"/>
  <c r="S21" s="1"/>
  <c r="S7"/>
  <c r="S23" s="1"/>
  <c r="S20"/>
  <c r="S18"/>
  <c r="U27"/>
  <c r="S19"/>
  <c r="K24" i="1"/>
  <c r="I24"/>
  <c r="S24"/>
  <c r="K4" i="14"/>
  <c r="I4"/>
  <c r="G4"/>
  <c r="V24" i="1" l="1"/>
  <c r="C29" s="1"/>
  <c r="U12" i="29"/>
  <c r="U18" s="1"/>
  <c r="U13"/>
  <c r="U19" s="1"/>
  <c r="U14"/>
  <c r="U20" s="1"/>
  <c r="U26"/>
  <c r="K8"/>
  <c r="K24" s="1"/>
  <c r="K17"/>
  <c r="L26"/>
  <c r="K7"/>
  <c r="K23" s="1"/>
  <c r="K9"/>
  <c r="K25" s="1"/>
  <c r="K6"/>
  <c r="K22" s="1"/>
  <c r="M27"/>
  <c r="K18"/>
  <c r="K5"/>
  <c r="K21" s="1"/>
  <c r="K20"/>
  <c r="K19"/>
  <c r="E7"/>
  <c r="E23" s="1"/>
  <c r="E9"/>
  <c r="E25" s="1"/>
  <c r="E6"/>
  <c r="E22" s="1"/>
  <c r="E17"/>
  <c r="E5"/>
  <c r="E21" s="1"/>
  <c r="E8"/>
  <c r="E24" s="1"/>
  <c r="F26"/>
  <c r="G27"/>
  <c r="E18"/>
  <c r="E19"/>
  <c r="E20"/>
  <c r="G5"/>
  <c r="G21" s="1"/>
  <c r="G8"/>
  <c r="G24" s="1"/>
  <c r="G17"/>
  <c r="G7"/>
  <c r="G23" s="1"/>
  <c r="G9"/>
  <c r="G25" s="1"/>
  <c r="H26"/>
  <c r="G6"/>
  <c r="G22" s="1"/>
  <c r="I27"/>
  <c r="G20"/>
  <c r="G18"/>
  <c r="G19"/>
  <c r="I7"/>
  <c r="I23" s="1"/>
  <c r="I9"/>
  <c r="I25" s="1"/>
  <c r="I6"/>
  <c r="I22" s="1"/>
  <c r="J26"/>
  <c r="I5"/>
  <c r="I21" s="1"/>
  <c r="I8"/>
  <c r="I24" s="1"/>
  <c r="I17"/>
  <c r="I18"/>
  <c r="K27"/>
  <c r="I19"/>
  <c r="I20"/>
  <c r="P26"/>
  <c r="O17"/>
  <c r="O7"/>
  <c r="O23" s="1"/>
  <c r="O8"/>
  <c r="O24" s="1"/>
  <c r="O5"/>
  <c r="O21" s="1"/>
  <c r="O20"/>
  <c r="O6"/>
  <c r="O22" s="1"/>
  <c r="O9"/>
  <c r="O25" s="1"/>
  <c r="Q27"/>
  <c r="O18"/>
  <c r="O19"/>
  <c r="Q5"/>
  <c r="Q21" s="1"/>
  <c r="Q7"/>
  <c r="Q23" s="1"/>
  <c r="Q9"/>
  <c r="Q25" s="1"/>
  <c r="Q6"/>
  <c r="Q22" s="1"/>
  <c r="R26"/>
  <c r="Q8"/>
  <c r="Q24" s="1"/>
  <c r="Q17"/>
  <c r="S27"/>
  <c r="Q18"/>
  <c r="Q20"/>
  <c r="Q19"/>
  <c r="U5"/>
  <c r="U21" s="1"/>
  <c r="U7"/>
  <c r="U23" s="1"/>
  <c r="U9"/>
  <c r="U25" s="1"/>
  <c r="U17"/>
  <c r="V26"/>
  <c r="U6"/>
  <c r="U22" s="1"/>
  <c r="U8"/>
  <c r="U24" s="1"/>
  <c r="D11" i="3"/>
  <c r="D10"/>
  <c r="D6"/>
  <c r="D5"/>
  <c r="C27" i="1" l="1"/>
  <c r="C28"/>
  <c r="V13" i="29"/>
  <c r="V19" s="1"/>
  <c r="X19" s="1"/>
  <c r="E32" s="1"/>
  <c r="V12"/>
  <c r="V18" s="1"/>
  <c r="X18" s="1"/>
  <c r="D32" s="1"/>
  <c r="V14"/>
  <c r="V20" s="1"/>
  <c r="X20" s="1"/>
  <c r="F32" s="1"/>
  <c r="V27"/>
  <c r="W27" s="1"/>
  <c r="M31" s="1"/>
  <c r="V17"/>
  <c r="W17" s="1"/>
  <c r="C31" s="1"/>
  <c r="V21"/>
  <c r="X21" s="1"/>
  <c r="G32" s="1"/>
  <c r="V25"/>
  <c r="W25" s="1"/>
  <c r="K31" s="1"/>
  <c r="V23"/>
  <c r="X23" s="1"/>
  <c r="I32" s="1"/>
  <c r="V24"/>
  <c r="X24" s="1"/>
  <c r="J32" s="1"/>
  <c r="V22"/>
  <c r="X22" s="1"/>
  <c r="H32" s="1"/>
  <c r="X25"/>
  <c r="K32" s="1"/>
  <c r="X26"/>
  <c r="L32" s="1"/>
  <c r="W26"/>
  <c r="L31" s="1"/>
  <c r="W22"/>
  <c r="H31" s="1"/>
  <c r="W18"/>
  <c r="D31" s="1"/>
  <c r="W21"/>
  <c r="G31" s="1"/>
  <c r="D12" i="3"/>
  <c r="D7"/>
  <c r="D10" i="2"/>
  <c r="E10"/>
  <c r="F10"/>
  <c r="G10"/>
  <c r="H10"/>
  <c r="I10"/>
  <c r="J10"/>
  <c r="K10"/>
  <c r="L10"/>
  <c r="M10"/>
  <c r="N10"/>
  <c r="O10"/>
  <c r="P10"/>
  <c r="Q10"/>
  <c r="R10"/>
  <c r="S10"/>
  <c r="T10"/>
  <c r="U10"/>
  <c r="V10"/>
  <c r="C10"/>
  <c r="W23" i="29" l="1"/>
  <c r="I31" s="1"/>
  <c r="W20"/>
  <c r="F31" s="1"/>
  <c r="X27"/>
  <c r="M32" s="1"/>
  <c r="X17"/>
  <c r="C32" s="1"/>
  <c r="W24"/>
  <c r="J31" s="1"/>
  <c r="W19"/>
  <c r="E31" s="1"/>
  <c r="C12" i="2"/>
  <c r="C14"/>
  <c r="C13"/>
</calcChain>
</file>

<file path=xl/sharedStrings.xml><?xml version="1.0" encoding="utf-8"?>
<sst xmlns="http://schemas.openxmlformats.org/spreadsheetml/2006/main" count="2178" uniqueCount="468">
  <si>
    <t>Net Incremental Benefits</t>
  </si>
  <si>
    <t>USD</t>
  </si>
  <si>
    <t>Benefits</t>
  </si>
  <si>
    <t>Costs</t>
  </si>
  <si>
    <t>Ben</t>
  </si>
  <si>
    <t>Fin</t>
  </si>
  <si>
    <t>Econ</t>
  </si>
  <si>
    <t>ENPV</t>
  </si>
  <si>
    <t>ERR</t>
  </si>
  <si>
    <t>EMIRR</t>
  </si>
  <si>
    <t>Discount Rate</t>
  </si>
  <si>
    <t>INCREMENTAL ECONOMIC AGGREGATE OVERALL RESULTS</t>
  </si>
  <si>
    <t>Units</t>
  </si>
  <si>
    <t>Vanilla</t>
  </si>
  <si>
    <t>Maize</t>
  </si>
  <si>
    <t>Rice</t>
  </si>
  <si>
    <t>Onion</t>
  </si>
  <si>
    <t>Cassava</t>
  </si>
  <si>
    <t>Avoided Costs of Flood</t>
  </si>
  <si>
    <t>Total Incremental Benefits</t>
  </si>
  <si>
    <t>Capital Expenditure</t>
  </si>
  <si>
    <t>Total COSTS (USD)</t>
  </si>
  <si>
    <t>Economic Sustainability Metrics - Without Emissions</t>
  </si>
  <si>
    <t>Values in USD</t>
  </si>
  <si>
    <t>%</t>
  </si>
  <si>
    <t>B/C Ratio</t>
  </si>
  <si>
    <t>Payback Period Calculations</t>
  </si>
  <si>
    <t>Number of Years</t>
  </si>
  <si>
    <t>Investment</t>
  </si>
  <si>
    <t>Incremental Cashflow</t>
  </si>
  <si>
    <t>Remainder</t>
  </si>
  <si>
    <t>Payback Period (Year)</t>
  </si>
  <si>
    <t>INCREMENTAL ECONOMIC AGGREGATE OVEROLL RESULTS</t>
  </si>
  <si>
    <t>Incremental Benefits - Investment Type 2</t>
  </si>
  <si>
    <t>Benefits from avoidabble costs of electricity</t>
  </si>
  <si>
    <t>Capital Investment</t>
  </si>
  <si>
    <t>Net Value Emmision (low Carbon Price/ton) Million US$</t>
  </si>
  <si>
    <t>Net Value Emmision (high Carbon Price/ton) Million US$</t>
  </si>
  <si>
    <t>Incremental Net benefit from Project in $  with low Carbon Price/ton( Cash flow)</t>
  </si>
  <si>
    <t>Incremental Net benefit from Project in $  with high Carbon Price/ton ( Cash flow)</t>
  </si>
  <si>
    <t>Economic Sustainability Metrics - With Low Carbon Emission</t>
  </si>
  <si>
    <t>Economic Sustainability Metrics - With High Carbon Emission</t>
  </si>
  <si>
    <t>Incremental Benefits - Investment Type 3</t>
  </si>
  <si>
    <t>Benefits from avoidabble costs of flooding</t>
  </si>
  <si>
    <t>Incremental Benefits - Ivestment Type 4</t>
  </si>
  <si>
    <t>Benefits from Reduced nutrient concentration (higher N uptake)</t>
  </si>
  <si>
    <t>Incremental Benefits - Ivestment Type 5</t>
  </si>
  <si>
    <t>Reduced nutrient concentration (higher N uptake)</t>
  </si>
  <si>
    <t>Incremental Benefits - Investment Type 6</t>
  </si>
  <si>
    <t>Incremental Benefits - Investment Type 7</t>
  </si>
  <si>
    <t>Avoided costs of travel interruption in one year - primary road</t>
  </si>
  <si>
    <t>Incremental Results</t>
  </si>
  <si>
    <t>Roads Improved drainage &amp; reinforcement during rehabilitation</t>
  </si>
  <si>
    <t>1.1. WP Cashflow Statement- 1Km, REAL Values</t>
  </si>
  <si>
    <t>Unit of Measure</t>
  </si>
  <si>
    <t>Quantity</t>
  </si>
  <si>
    <t>Unit Cost</t>
  </si>
  <si>
    <t>INFLOWS</t>
  </si>
  <si>
    <t>Jobs and Income creation</t>
  </si>
  <si>
    <t>Income/USD/Km</t>
  </si>
  <si>
    <t>Avoided costs of travel interruption in one year - primary &amp; secondary road</t>
  </si>
  <si>
    <t>TOTAL INFLOWS (USD REAL)</t>
  </si>
  <si>
    <t>OUTFLOWS</t>
  </si>
  <si>
    <t>Operation and Maintenance Costs</t>
  </si>
  <si>
    <t>TOTAL OUTFLOWS (USD REAL)</t>
  </si>
  <si>
    <t>NET CASH FLOW (USD REAL)</t>
  </si>
  <si>
    <t>Financial Viability Metrics (Individual)</t>
  </si>
  <si>
    <t>FNPV</t>
  </si>
  <si>
    <t>FIRR</t>
  </si>
  <si>
    <t>MIRR</t>
  </si>
  <si>
    <t>1.2. Incremental 1Km Cashflow Statement -REAL Values</t>
  </si>
  <si>
    <t>1.3. Incremental Aggregate Cashflow Statement -REAL Values</t>
  </si>
  <si>
    <t>Number of Kilometers</t>
  </si>
  <si>
    <t>Reduced damage</t>
  </si>
  <si>
    <t>Incremental Financial Viability Metrics (Aggregate)</t>
  </si>
  <si>
    <t xml:space="preserve">2. Incremental Economic Analysis </t>
  </si>
  <si>
    <t>2.1. Incremental 1Km Economic Resource Flow Statement/REAL Values</t>
  </si>
  <si>
    <t>Number of years for compound interest</t>
  </si>
  <si>
    <t>BENEFITS</t>
  </si>
  <si>
    <t>TOTAL BENEFITS (REAL USD)</t>
  </si>
  <si>
    <t>COSTS</t>
  </si>
  <si>
    <t>TOTAL COSTS (REAL USD)</t>
  </si>
  <si>
    <t>NET RESOURCE FLOW (USD REAL)</t>
  </si>
  <si>
    <t>Incremental Economic Sustainability Metrics (Individual)</t>
  </si>
  <si>
    <t>2.2. Incremental Aggregate Economic Resource Flows Statement/ REAL Values</t>
  </si>
  <si>
    <t>Incremental Economic Sustainability Metrics (Aggregate)</t>
  </si>
  <si>
    <t>Incremental Financial Viability Metrics (Individual)</t>
  </si>
  <si>
    <t>Avoided costs of travel interruption in one year - primary and Secondary road</t>
  </si>
  <si>
    <t>Farm Benefits - Intervention 10</t>
  </si>
  <si>
    <t>Debt Sercive Coverage Ratio</t>
  </si>
  <si>
    <t>Net Operating Income</t>
  </si>
  <si>
    <t>Debt Service</t>
  </si>
  <si>
    <t>Interest (8.5%)</t>
  </si>
  <si>
    <t>Total Debt Service</t>
  </si>
  <si>
    <t>Average Debt Sercive Coverage Ratio</t>
  </si>
  <si>
    <t>IT9</t>
  </si>
  <si>
    <t>IT8</t>
  </si>
  <si>
    <t>IT7</t>
  </si>
  <si>
    <t>IT6</t>
  </si>
  <si>
    <t>IT5</t>
  </si>
  <si>
    <t>IT4</t>
  </si>
  <si>
    <t>IT3</t>
  </si>
  <si>
    <t>IT2</t>
  </si>
  <si>
    <t>IT1</t>
  </si>
  <si>
    <t>Debt Service Coverage Ratio</t>
  </si>
  <si>
    <t>F-Payback Period (Years)</t>
  </si>
  <si>
    <t>E-Payback Period (Years)</t>
  </si>
  <si>
    <t xml:space="preserve">F-Benefit to cost ratio </t>
  </si>
  <si>
    <t xml:space="preserve">E-Benefit to cost ratio </t>
  </si>
  <si>
    <t xml:space="preserve">F-IRR </t>
  </si>
  <si>
    <t>E-IRR</t>
  </si>
  <si>
    <t>F-NPV</t>
  </si>
  <si>
    <t>E-NPV</t>
  </si>
  <si>
    <t>Value of externalities</t>
  </si>
  <si>
    <t>Revenues generated</t>
  </si>
  <si>
    <t>Total investment</t>
  </si>
  <si>
    <t>Farm Benefits - Ivestment Type 1</t>
  </si>
  <si>
    <t>Not Calculated</t>
  </si>
  <si>
    <t>Net Incremental Benefits - IT1</t>
  </si>
  <si>
    <t>Overall Financial Incremental Benefits (IT1-IT6)</t>
  </si>
  <si>
    <t>Net Incremental Benefits - IT2</t>
  </si>
  <si>
    <t>Net Incremental Benefits - IT3</t>
  </si>
  <si>
    <t>Net Incremental Benefits - IT4</t>
  </si>
  <si>
    <t>Net Incremental Benefits - IT5</t>
  </si>
  <si>
    <t>Net Incremental Benefits - IT6</t>
  </si>
  <si>
    <t>Net Incremental Benefits - IT 1</t>
  </si>
  <si>
    <t>Net Incremental Benefits - IT 2</t>
  </si>
  <si>
    <t>Net Incremental Benefits - IT 3</t>
  </si>
  <si>
    <t>Net Incremental Benefits - IT 4</t>
  </si>
  <si>
    <t>Net Incremental Benefits - IT 5</t>
  </si>
  <si>
    <t>Net Incremental Benefits - IT 6</t>
  </si>
  <si>
    <t>Net Incremental Benefits - IT 7</t>
  </si>
  <si>
    <t>Net Incremental Benefits - IT 8</t>
  </si>
  <si>
    <t>Net Incremental Benefits - IT 9</t>
  </si>
  <si>
    <t>Total IFAD</t>
  </si>
  <si>
    <t>Total GCF</t>
  </si>
  <si>
    <t>GCF</t>
  </si>
  <si>
    <t>Training, trips abroad</t>
  </si>
  <si>
    <t xml:space="preserve">Staff Cost </t>
  </si>
  <si>
    <t>Allowances - Driver</t>
  </si>
  <si>
    <t>Allowances - Officers</t>
  </si>
  <si>
    <t>DEFIS+ regions of intervention</t>
  </si>
  <si>
    <t>Details on co-financing</t>
  </si>
  <si>
    <t>Financing source</t>
  </si>
  <si>
    <t>Total</t>
  </si>
  <si>
    <t>Unit cost (USD)</t>
  </si>
  <si>
    <t>Number of people</t>
  </si>
  <si>
    <t>Unit (Year)</t>
  </si>
  <si>
    <t>Details</t>
  </si>
  <si>
    <t>Budget Account Description</t>
  </si>
  <si>
    <t>Notes</t>
  </si>
  <si>
    <t>Operations and maintenance</t>
  </si>
  <si>
    <t>Driver</t>
  </si>
  <si>
    <t>Salaries and allowances</t>
  </si>
  <si>
    <t xml:space="preserve">Subtotal </t>
  </si>
  <si>
    <t xml:space="preserve">Institutional Support and Policy Engagement (Chamber of Agriculture; Chamber of Commerce; Value chain platforms, Agriculture Development Fund, Pest Control Response) </t>
  </si>
  <si>
    <t>USD 10 607 062 already spent on policy dialogues, agriculture statistics, pest management, early warning and agroclimate services, equipment and capacity building, salaries and programme coordination</t>
  </si>
  <si>
    <t>IFAD</t>
  </si>
  <si>
    <t xml:space="preserve">Staff Cost for programme's coordination </t>
  </si>
  <si>
    <t>Office equipment - Office equipment; Acquisition of photocopier; Acquisition of computer hardware; Purchase of telephone; Purchase of technical equipment. 1 NAS Server: 5950  USD 6 technical equipment: 2550 USD/piece, 2 agricultural drones:7200 USD/piece, 4computers: 3000 USD/piece, 1 Screen:1300 USD, 8 GPS: 650 USD/piece</t>
  </si>
  <si>
    <t>Equipment</t>
  </si>
  <si>
    <t xml:space="preserve">Professional/ Contractual Services </t>
  </si>
  <si>
    <t>Local consultants for communication - 2 regions*6,666 USD/year, local consultants for diagnosis of key messages, and communication tools, yearly evaluation and improvement of key messages.</t>
  </si>
  <si>
    <t>Local consultants</t>
  </si>
  <si>
    <t xml:space="preserve">Professional/ Contractual Services for vehicle pick-up - engagement of a service provider for the purchase of vehicles, which includes all freight forwarding and customs clearance activities. </t>
  </si>
  <si>
    <t>Unit (Number)</t>
  </si>
  <si>
    <t>Project coordination and management</t>
  </si>
  <si>
    <t xml:space="preserve">Project management </t>
  </si>
  <si>
    <t>All DEFIS + zones</t>
  </si>
  <si>
    <t>Training, workshops, and conference</t>
  </si>
  <si>
    <t>Unit (Studies)</t>
  </si>
  <si>
    <t>Activity 3.1.3. Capitalization of best practices and knowledge on food and nutrition security measures</t>
  </si>
  <si>
    <t xml:space="preserve">Awareness raising and training of beneficiaries on effects of cimate change. A capacity building plan will be developed, including independent monitoring of the effectiveness of trainings. </t>
  </si>
  <si>
    <t>Travel</t>
  </si>
  <si>
    <t>Unit (Exchange Visits/Training)</t>
  </si>
  <si>
    <t xml:space="preserve">Activity 3.1.2. Exchange visits on the adaptation of food systems to climate change </t>
  </si>
  <si>
    <t>USD 642 435 already spent on baseline studies, impact evaluation studies, thematic studies, geographic information systems, capacity building, communication and knowledge products</t>
  </si>
  <si>
    <t xml:space="preserve">Professional / Contractual Services </t>
  </si>
  <si>
    <t>Unit (Lumpum)</t>
  </si>
  <si>
    <t>USD 275 492 already spent on nutrition education</t>
  </si>
  <si>
    <t>Contractual Services with profesional for nutritional education. Training is provided at nutrition education centers for the benefit of groups and communities. The courses cover culinary education, hygiene, food diversification, food preservation and processing.</t>
  </si>
  <si>
    <t>Unit (Family Farmers)</t>
  </si>
  <si>
    <t>Engage national consultant(s) for the training of the beneficiaries per IFAD procurement procedures.</t>
  </si>
  <si>
    <t xml:space="preserve">Capacity building on integrated watershed management -includes refreshements and transportation costs for the particpants. Each session will target 30 participants. A capacity building plan will be developed, including independent monitoring of the effectiveness of trainings. Cost per beneficiary 
- Support for participants in capacity building in integrated watershed management: 1,070 USD
- Logistics, meals: 160 USD
- Capacity-building plan and independent monitoring of training effectiveness: 310 USD </t>
  </si>
  <si>
    <t>Unit (Session)</t>
  </si>
  <si>
    <t xml:space="preserve">Training on climate change impacts and measures: building awareness, information, training sessions, monitoring of the appropriation of knowledge. A capacity building plan will be developed, including independent monitoring of the effectiveness of trainings. Cost breakdown as follows: 
i) Awareness-raising, information: 20 USD / beneficiary
ii) Training sessions, follow-up of knowledge appropriation: 150 USD  
iii) Capacity-building plan including independent monitoring of training effectiveness: 35 USD
The expected number of beneficiaries is 2,000. </t>
  </si>
  <si>
    <t>Unit (Actors)</t>
  </si>
  <si>
    <t>Activity 3.1.1. Training rural development actors on climate change and food production systems for enhanced nutrition</t>
  </si>
  <si>
    <t>Output 3.1. Knowledge on climate change and food security generated and shared</t>
  </si>
  <si>
    <t>Outcome 3. Improved food and nutrition security</t>
  </si>
  <si>
    <t xml:space="preserve">Training of actors and professionals on construction standards related to climate change - includes logistical costs for venues, refreshments, lodging where required and certification. A capacity building plan will be developed, including independent monitoring of the effectiveness of trainings.  </t>
  </si>
  <si>
    <t>Activity 2.2.1. Training on construction standards related to climate change</t>
  </si>
  <si>
    <t>Output 2.2. Improved capacity to build and maintain rural infrastructure</t>
  </si>
  <si>
    <t>USD 744 754 already spent on technical studies and monitoring</t>
  </si>
  <si>
    <t>USD 4 016 099 already spent on storage, processing and road rehabilitation</t>
  </si>
  <si>
    <t xml:space="preserve">Small processing centers (USD 1,088) or storage infrastructures construction (USD 1,783) and roads rehabilitation works (USD 17,000) </t>
  </si>
  <si>
    <t xml:space="preserve">Constuction cost </t>
  </si>
  <si>
    <t xml:space="preserve">Engage consultant for study, control and monitoring - These are the costs of detailed design studies for roadside ovrages for drainage and surface water collection and reclamation. The cost corresponds to the average cost of designing the works (calculations, drawings). </t>
  </si>
  <si>
    <t>Environmental and social impact studies</t>
  </si>
  <si>
    <t>Paving or encroachment</t>
  </si>
  <si>
    <t>Runoff water collection structures</t>
  </si>
  <si>
    <t xml:space="preserve">5 Water Level Dip Meters </t>
  </si>
  <si>
    <t>Sinking observation wells</t>
  </si>
  <si>
    <t xml:space="preserve">Construction of 50 farm ponds </t>
  </si>
  <si>
    <t>Construction of 50 check dams</t>
  </si>
  <si>
    <t xml:space="preserve">Construction of ridge ditches for improved drainage </t>
  </si>
  <si>
    <t xml:space="preserve">Construction cost </t>
  </si>
  <si>
    <t>Unit (Km)</t>
  </si>
  <si>
    <t>Activity 2.1.1. Reinforcement of unpaved rural access roads to reduce climate change impacts and water collection along these roadways for agricultural use</t>
  </si>
  <si>
    <t>Output 2.1. Reinforced rural access roads</t>
  </si>
  <si>
    <t>Outcome 2. Increased income generation through improved market accessibility</t>
  </si>
  <si>
    <t>USD 683 943 already spent on seed and material supply, M&amp;E and business plans</t>
  </si>
  <si>
    <t>Contractual services with the producer organizations specialised in seed production</t>
  </si>
  <si>
    <t>Professional / Contractual Services for quality seeds and planting material</t>
  </si>
  <si>
    <t>USD 3 540 313 already spent on equipping producer organizations specialised in seed production</t>
  </si>
  <si>
    <t>Equipment of producer organizations specialised in seed production</t>
  </si>
  <si>
    <t>Equipment for quality seeds and planting material</t>
  </si>
  <si>
    <t>Equipment of producer organizations specialised in seed production. These are batches of agricultural inputs and equipment provided to seed-producing farmers
- Fertilizers: 36 000 USD
- Basic seeds: 18 000 USD
- Materials: cart, harrow, weeder, cultivator, plough: 128 380 USD</t>
  </si>
  <si>
    <t xml:space="preserve">Professional / Contractual Services for impact assessment </t>
  </si>
  <si>
    <t>Convention with Research centers (Vatovavy, Haute Matsiatra)</t>
  </si>
  <si>
    <t>Professional / Contractual Services for seed production centres</t>
  </si>
  <si>
    <t>Equipment for seed production centres</t>
  </si>
  <si>
    <t>Unit (Lumpsum)</t>
  </si>
  <si>
    <t xml:space="preserve">Professional / Contractual Services for climate-resilient seeds and planting material </t>
  </si>
  <si>
    <t>Unit (Contracts)</t>
  </si>
  <si>
    <t xml:space="preserve">Activity 1.2.4. Promotion and dissemination of sustainable home technologies and social initiatives </t>
  </si>
  <si>
    <t>Professional / Contractual Services for REEP</t>
  </si>
  <si>
    <t xml:space="preserve">Awareness building, establishment of farmer field schools (FFS), training, monitoring. The unit costs of USD 120 includes logistical costs for organising the sessions (USD 70) and equipment and matrials provided for the training (USD 50). Each FFS has approximately 25 members. A capacity building plan will be developed, including independent monitoring of the effectiveness of trainings. </t>
  </si>
  <si>
    <t xml:space="preserve">Training, workshops, and conference on REEP </t>
  </si>
  <si>
    <t>Ihorombe, Haute Matsiatra</t>
  </si>
  <si>
    <t>REEPS construction - 50 units are needed, with a unit cost of and an average of 100 m3 of REEPS, and a budget of 23500 USD per unit.</t>
  </si>
  <si>
    <t>Construction cost for REEP</t>
  </si>
  <si>
    <t>Activity 1.2.3. Promotion and dissemination of meteorological and climate smart agriculture practices</t>
  </si>
  <si>
    <t>Parternship with SRM and DRAEP: support for processing. A capacity building plan will be developed, including independent monitoring of the effectiveness of trainings. Breakdown of unit cost:
(i) processing: 44,000 USD
(ii) capacity-building plan: 22,000 USD
(iii) independent monitoring of training effectiveness 22,000 USD</t>
  </si>
  <si>
    <t>Activity 1.2.2. Capacity building of decentralised government (SRM &amp; DRAEP)</t>
  </si>
  <si>
    <t>Unit (Stations)</t>
  </si>
  <si>
    <t>Activity 1.2.1. Installation of automated agro-meteorological stations and development of flood and drought monitoring and forecasting system</t>
  </si>
  <si>
    <t xml:space="preserve">Output 1.2. Enhanced agro-climatic information systems, new technologies and initiatives </t>
  </si>
  <si>
    <t>Vatovavy, Amoron'i Mania, Fianarantsoa</t>
  </si>
  <si>
    <t>Activity 1.1.4. Construction of climate smart water tanks for drip-irrigation and for small livestock</t>
  </si>
  <si>
    <t>All DEFIS+  zones</t>
  </si>
  <si>
    <t xml:space="preserve">Capacity building of the Users Associations members to develop sub-watershed conservation and management plans. Each session will have 25 to 30 participants. A capacity building plan will be developed, including independent monitoring of the effectiveness of trainings. </t>
  </si>
  <si>
    <t>Activity 1.1.3. Strengthening capacities of Water Users Associations to manage water and apply sustainable water management practices</t>
  </si>
  <si>
    <t>Engage consultant for training,  monitoring, and capacity building plan. Breakdown of the costs is as follows:  Fees for four resource persons 5800 USD Logistics and operating costs 1286 USD</t>
  </si>
  <si>
    <t xml:space="preserve">Training on NIHYCRI standards and protection of watersheds - includes venue hiring, refreshements and transportation costs for the particpants. Each session will target 25 participants. Breakdown of costs: 333 USD Room and meals; 150 USD Transportation; 350 USD teaching aids and materials and 2500 USD participant support: 3 Days of training, 4 days per diem for 29 Dollars per person. </t>
  </si>
  <si>
    <t>Unit (Sessions)</t>
  </si>
  <si>
    <t>Terraces only in Amoron'i Mania, Fianarantsoa, Vatovavy, but all landscape restoration and reforestation activities in all DEFIS+ zones. The difference will be in the species used according to the agro-ecological zones.</t>
  </si>
  <si>
    <t>Unit (Ha)</t>
  </si>
  <si>
    <t>Activity 1.1.2. Sustainable sub-watersheds (adjacent to irrigated schemes) management and restoration of landscape</t>
  </si>
  <si>
    <t>USD 1 666 669 already spent on technical studies</t>
  </si>
  <si>
    <t xml:space="preserve">Study, control and surveillance </t>
  </si>
  <si>
    <t>USD 8 336 696 already spent on rehabilitation works on irrigated perimiters</t>
  </si>
  <si>
    <t>Irrigated permiters rehabilitation or construction</t>
  </si>
  <si>
    <t>Professional / Contractual Services*</t>
  </si>
  <si>
    <t xml:space="preserve">Maintenance equipment and replacement materials </t>
  </si>
  <si>
    <t>1b</t>
  </si>
  <si>
    <t>Installation of de-silting systems</t>
  </si>
  <si>
    <t xml:space="preserve">Construction of irrigation channels using improved standards and water retention works </t>
  </si>
  <si>
    <t xml:space="preserve">Especially in the regions of Vatovavy, Fitovinany and Atsimo Atsinanana (south-east); only 1 district in the centre. </t>
  </si>
  <si>
    <t>Improve irrigation drainage networks</t>
  </si>
  <si>
    <t>Construction cost</t>
  </si>
  <si>
    <t>1a</t>
  </si>
  <si>
    <t>Activity 1.1.1. Protection of irrigation schemes against climate change impacts</t>
  </si>
  <si>
    <t>Output 1.1. Improved water management for sustainable agriculture</t>
  </si>
  <si>
    <t>Outcome 1. Strengthened climate resilience of agricultural production systems</t>
  </si>
  <si>
    <t>Detailed Budget Notes: (important - prepared in conjunction with Budget Plan)</t>
  </si>
  <si>
    <t>Detailed Budget Notes</t>
  </si>
  <si>
    <t xml:space="preserve">PMU - PMC percentage applies on the sub-total of components/activities. </t>
  </si>
  <si>
    <t>PMU</t>
  </si>
  <si>
    <t xml:space="preserve">Office Suuplies - Include office supplies' name, quantity, and unit cost in budget notes, and how the unit cost is arrived. </t>
  </si>
  <si>
    <t>Office Supplies</t>
  </si>
  <si>
    <t xml:space="preserve">Materials &amp; Goods - Include material and goods specification, name, quantity, and unit cost in budget notes, and how the unit cost is arrived. </t>
  </si>
  <si>
    <t>Materials &amp; Goods</t>
  </si>
  <si>
    <t>Professional Service - Please provide the details of the professional services needed, purpose of the services, and also the basis of the cost estimates.</t>
  </si>
  <si>
    <t>Professional Services</t>
  </si>
  <si>
    <t>Travel - Breakdown travel cost information by number of people and cost per person and separating DSA where applicable. Also please provide the reason why international travel is needed.</t>
  </si>
  <si>
    <t>Workshop - Include the number of workshops anticipated, number of people attending, number of days, target group, cost per work workshop, venue cost, etc.</t>
  </si>
  <si>
    <t>Workshop</t>
  </si>
  <si>
    <t xml:space="preserve">Equipment - Include machinery specification, equipment name, quantity, and unit cost in budget notes and how the unit cost is arrived. </t>
  </si>
  <si>
    <t>Consultant - To detail unit cost and duration of consultant(s) work and position</t>
  </si>
  <si>
    <t>Consultant</t>
  </si>
  <si>
    <t>Note</t>
  </si>
  <si>
    <t>Grant</t>
  </si>
  <si>
    <t>Loan</t>
  </si>
  <si>
    <t>Total year 5 and 6</t>
  </si>
  <si>
    <t>Total year 3 and 4</t>
  </si>
  <si>
    <t>Total year 1 and 2</t>
  </si>
  <si>
    <t>Difference/new co-financing total</t>
  </si>
  <si>
    <t>Amount already spent under DEFIS</t>
  </si>
  <si>
    <t>Previous total IFAD co-financing</t>
  </si>
  <si>
    <t>Check with old figures</t>
  </si>
  <si>
    <t>IFAD Grant</t>
  </si>
  <si>
    <t>IFAD Loan</t>
  </si>
  <si>
    <t>GCF Grant</t>
  </si>
  <si>
    <t>GCF Loan</t>
  </si>
  <si>
    <t xml:space="preserve">*Please provide detailed assumptions, formulae and calculations underlying each budget line item to provide basis of how these costs are arrived in the separate excel file referring to Notes and Assumptions. Please also provide the assumptions regarding the exchange rates used for budgeting, if applicable. </t>
  </si>
  <si>
    <t>Total Amount AE</t>
  </si>
  <si>
    <t>Total Amount GCF</t>
  </si>
  <si>
    <t>Total Amount</t>
  </si>
  <si>
    <t xml:space="preserve">Total PM Component </t>
  </si>
  <si>
    <t>IFAD sub-total</t>
  </si>
  <si>
    <t>GCF sub-total</t>
  </si>
  <si>
    <t>Year</t>
  </si>
  <si>
    <t>Supervision cost by NDA</t>
  </si>
  <si>
    <t>Supervision costs by Government</t>
  </si>
  <si>
    <t>Vehicle operations and maintenance</t>
  </si>
  <si>
    <t>Accredited Entity</t>
  </si>
  <si>
    <t>Programme's coordination</t>
  </si>
  <si>
    <t>Lumpsum</t>
  </si>
  <si>
    <t>Office equipment</t>
  </si>
  <si>
    <t>Communication</t>
  </si>
  <si>
    <t>Internal Monitoring and evaluation</t>
  </si>
  <si>
    <t>Number</t>
  </si>
  <si>
    <t>Vehicle pick-up</t>
  </si>
  <si>
    <t>Project Management Component</t>
  </si>
  <si>
    <t>Total Outcome 3</t>
  </si>
  <si>
    <t>Total output 3.1</t>
  </si>
  <si>
    <t>Studies Shared</t>
  </si>
  <si>
    <t xml:space="preserve">Activity 3.1.3. Capitalization of best practices and knowledge on food and nutrition security measures
</t>
  </si>
  <si>
    <t>Exchange visits</t>
  </si>
  <si>
    <t>Activity 3.1.2. Exchange visits on climate resilient food systems</t>
  </si>
  <si>
    <t>Family Farmers</t>
  </si>
  <si>
    <t>Sessions</t>
  </si>
  <si>
    <t>Actors</t>
  </si>
  <si>
    <t>Total Outcome 2</t>
  </si>
  <si>
    <t>Total output 2.2</t>
  </si>
  <si>
    <t>Total output 2.1</t>
  </si>
  <si>
    <t>Km</t>
  </si>
  <si>
    <t>Total Outcome 1</t>
  </si>
  <si>
    <t>Total output 1.2</t>
  </si>
  <si>
    <t xml:space="preserve">Professional/ Contractual Services for impact assessment </t>
  </si>
  <si>
    <t>Contracts</t>
  </si>
  <si>
    <t>Farmers</t>
  </si>
  <si>
    <t>Stations</t>
  </si>
  <si>
    <t>Total output 1.1</t>
  </si>
  <si>
    <t>Ha</t>
  </si>
  <si>
    <t>Lot</t>
  </si>
  <si>
    <t xml:space="preserve">Equipment </t>
  </si>
  <si>
    <t xml:space="preserve">Activity 1.1.1. Protection of irrigation schemes against climate change impacts
</t>
  </si>
  <si>
    <t>GCF Grant Total
 (USD)</t>
  </si>
  <si>
    <t>GCF Loan Total
 (USD)</t>
  </si>
  <si>
    <t>Unit Cost (USD)</t>
  </si>
  <si>
    <t>Unit</t>
  </si>
  <si>
    <t>Notes and Assumptions</t>
  </si>
  <si>
    <t xml:space="preserve">Budget Account Description </t>
  </si>
  <si>
    <t>Financial Instrument  (Loan/Grant etc)</t>
  </si>
  <si>
    <t>Financing Source</t>
  </si>
  <si>
    <t>Activity</t>
  </si>
  <si>
    <t>Output</t>
  </si>
  <si>
    <t>Outcome</t>
  </si>
  <si>
    <t>Grand Total</t>
  </si>
  <si>
    <t>(blank)</t>
  </si>
  <si>
    <t>Sum of Total Cost (000 USD)</t>
  </si>
  <si>
    <t>Row Labels</t>
  </si>
  <si>
    <t>Total Project Costs</t>
  </si>
  <si>
    <t>Project Costs</t>
  </si>
  <si>
    <t>Costs already included in the models to avoid double counting</t>
  </si>
  <si>
    <t>Irrigated perimeters rehabilitation</t>
  </si>
  <si>
    <t>Small tanks for irrigation</t>
  </si>
  <si>
    <t>Landscape Restoration</t>
  </si>
  <si>
    <t>Ridge ditches, Paving &amp; encroachment and Storage infra.</t>
  </si>
  <si>
    <t>Drainage network, De-eilting system and Irrigation scheme</t>
  </si>
  <si>
    <t>Net project costs after deducting costs included in midels</t>
  </si>
  <si>
    <t>Incremental Benefits - InvestmentType 8</t>
  </si>
  <si>
    <t>Net Incremental Benefits - IT 10</t>
  </si>
  <si>
    <t>IT10</t>
  </si>
  <si>
    <t>-</t>
  </si>
  <si>
    <t>High case risk</t>
  </si>
  <si>
    <t>Medium case risk</t>
  </si>
  <si>
    <t>Mild case risk</t>
  </si>
  <si>
    <t>Yr 1</t>
  </si>
  <si>
    <t>Sensitivity analysis scenario considered for reduction in benefits</t>
  </si>
  <si>
    <t>IRR (%)</t>
  </si>
  <si>
    <t>2 years</t>
  </si>
  <si>
    <t>1 year</t>
  </si>
  <si>
    <t>- 30%</t>
  </si>
  <si>
    <t>-20%</t>
  </si>
  <si>
    <t>-10%</t>
  </si>
  <si>
    <t>+20%</t>
  </si>
  <si>
    <t>+10%</t>
  </si>
  <si>
    <t>+50%</t>
  </si>
  <si>
    <t>Delay of Benefits</t>
  </si>
  <si>
    <t>Decrease of Benefits</t>
  </si>
  <si>
    <t>Benefits Increase</t>
  </si>
  <si>
    <t>Costs Increase</t>
  </si>
  <si>
    <t>Base case</t>
  </si>
  <si>
    <t xml:space="preserve">Sensitivity Analysis
</t>
  </si>
  <si>
    <t>Discount rate</t>
  </si>
  <si>
    <t xml:space="preserve">benefits delayed 2 years </t>
  </si>
  <si>
    <t>benefits delayed 1 year</t>
  </si>
  <si>
    <t>benefits -30%</t>
  </si>
  <si>
    <t>benefits -20%</t>
  </si>
  <si>
    <t>benefits -10%</t>
  </si>
  <si>
    <t>benefits +20%</t>
  </si>
  <si>
    <t>benefits +10%</t>
  </si>
  <si>
    <t xml:space="preserve"> costs +30%</t>
  </si>
  <si>
    <t xml:space="preserve"> costs +20%</t>
  </si>
  <si>
    <t xml:space="preserve"> costs +10%</t>
  </si>
  <si>
    <t>base scenario</t>
  </si>
  <si>
    <t>US$</t>
  </si>
  <si>
    <t>Net cash flow</t>
  </si>
  <si>
    <t xml:space="preserve">High scenario </t>
  </si>
  <si>
    <t>Medium scenario</t>
  </si>
  <si>
    <t>Mild scenario</t>
  </si>
  <si>
    <t>Incremental Benefits</t>
  </si>
  <si>
    <t>Sensitivity Analysis</t>
  </si>
  <si>
    <t>Costs in US$ '000</t>
  </si>
  <si>
    <t>NPV (USD 000)</t>
  </si>
  <si>
    <t>11-20.</t>
  </si>
  <si>
    <t>2028+</t>
  </si>
  <si>
    <t>Overall Economic Incremental Benefits (IT1-IT10)</t>
  </si>
  <si>
    <t>Technology transfer activities</t>
  </si>
  <si>
    <t>Total capacity building activities</t>
  </si>
  <si>
    <t>Capacity building activities</t>
  </si>
  <si>
    <t>Abroad</t>
  </si>
  <si>
    <t>National Level</t>
  </si>
  <si>
    <t>NDA operating cost  - This includes the budget for: 
(i) purchase of computers
(ii) office equipment 
(iii) fuel budget for the operation of missions 
(iv) car maintenance 
(v) communication 
(vi) per diems and 
(vii) attending international conferences (which depends on the title of conference, position of attendee in project, venue and cost) and dialogues on climate</t>
  </si>
  <si>
    <t>Supervision costs by Government - Supervision by the administration, steering committees, supervision by the Directorate of Rural Engeeniring for rehabilitation works, supervision by the Regional Directorates for Agriculture and Livestock, the Direction des protection des végétaux, the Service de l'Environnement du Ministère de l'Agriculture which issues environmental authorizations for rehabilitation work on irrigated perimeters that have been the subject of Elaboration du Programme d'Engagement Environnemental, they carry out the environmental monitoring of these works. Monitoring by other regional ministerial technical departments: the Regional Department of the Environment and Sustainable Development, the Regional Technical Department of Public Works, the Regional Technical Department of Agriculture and Livestock. It will include the Government, the Ministry of Agriculture and Livestock the National Office of Environment to do monitoring of the activities, the initial global amount is 800000 USD and the final proposed budget is 679 998 USD</t>
  </si>
  <si>
    <t>Office and Vehicle operations and maintenance - This is the cost of running and repairing 2 vehicles, the same cost as for the DEFIS COSTAB.
Operation: 9000 USD for 1 vehicle because the AND budget includes car maintenace for vehicles
Miscellaneous repairs: 3000 USD/year*2 Vehicle
Office maintenance: 8782  USD
Operation: 8,000 USD/year*2 vehicles
Miscellaneous repairs: 3,000 USD/Year*2 vehicle</t>
  </si>
  <si>
    <t>DEFIS + regions of intervention</t>
  </si>
  <si>
    <t>National level</t>
  </si>
  <si>
    <t>Gender and Social inclusion Officer</t>
  </si>
  <si>
    <t>Haute Matsiatra, Vatovavy</t>
  </si>
  <si>
    <t>Regional Environment and Climate Officer (one person for two adjacent regions) providing M&amp;E assistance</t>
  </si>
  <si>
    <t>Monitoring and Evaluation Officer</t>
  </si>
  <si>
    <t>GCF Monitoring and Evaluation Officer and KM</t>
  </si>
  <si>
    <t>GCF Environment and Climate Officer (for both DEFIS and DEFIS+)</t>
  </si>
  <si>
    <t>All DEFIS zones (DEFIS+) and Anosy, Androy, Atsimo Andrefana</t>
  </si>
  <si>
    <t>Professional/ Contractual Services for communication. Budget broken down as follows:
 Communication tools for visibility: 10,000 USD
- Dissemination of communication for visibility: 10,560 USD (production, mutliplication and communication)
- Implementation of communication for development: 11,065 USD</t>
  </si>
  <si>
    <t>Sub-total</t>
  </si>
  <si>
    <t>Impact study : 400,000 USD</t>
  </si>
  <si>
    <t>Professional/ Contractual Services for monitoring and evaluation: 
Baseline survey/60,000 USD
Mid-term survey/60,000 USD</t>
  </si>
  <si>
    <t xml:space="preserve">Dissemination of the best practises by training. A capacity building plan will be developed, including independent monitoring of the effectiveness of trainings. This activity will be carried out in 2 regions. Hiring consultants to draw up the capacity-building plan for 2 regions: 10,000 USD, Carrying out the training courses: 2*11,514.5 USD (Participant allowances, transport, room hire and lunch). </t>
  </si>
  <si>
    <t>KM products and events</t>
  </si>
  <si>
    <t>Identification of best practises, organising exchange visits, promoting pair mentoring. A capacity building plan will be developed, including independent monitoring of the effectiveness of trainings. Breakdown of costs: travel costs USD 3000 for 25 farmers, subsistence USD 220 each, accomodation USD 250 each (3 nights).</t>
  </si>
  <si>
    <t xml:space="preserve">Capacity building plan. </t>
  </si>
  <si>
    <t>Engage consultant for study, control and monitoring.</t>
  </si>
  <si>
    <t>Engage consultant for awareness building, information, training sessions on water-efficient technologies (micro irrigation system, gravity water storage), renewable energy and energy-efficient technologies (solar pump, biogas and improve stoves). 60 man months for three consultants.</t>
  </si>
  <si>
    <t>Put in place pilot models systems of new technologies such as 250 solar pumps at USD 880, 250 Bio gas at USD 700, 1000 improved stoves at 40 USD, 500 solar dryers at USD 440 and 500 solar mills at USD 725.</t>
  </si>
  <si>
    <t>Professional / Contractual Services for supervision of REEPs construction and facilitation of FFS through a service provider contract. Breakdown of costs is as follows: USD 170 facilitator honorarium; USD 49 facilitator transportation and subsistence.</t>
  </si>
  <si>
    <t>Contractual Services with the center for basic seeds production.</t>
  </si>
  <si>
    <t>Improvement and equipment of seed production center - These are batches of agricultural inputs and equipment allocated to the seed centers. Cost Breakdown as follows:  2 minitractor with trailer at USD32000, 200 pallet at USD16.3 scales at USD350,  office equipement such as 1 printer at 4000 USD ,  2 computers  3000 USD IT consumable at USD 5000, bags 0,3 USD of 5000 pieces, agricultural inputs: 15250 USD.</t>
  </si>
  <si>
    <t>Professional/ Contractual Services for Operating costs of research centers under annual contracts with research organizations: 11 contracts.
This includes: production of seeds and other plant materials for agroforestry.</t>
  </si>
  <si>
    <t>Distribution of agrometeorological data. Breakdown of costs is as follows: Training sessions in use of agro-met infoormation for farmers in each region where station is installed USD 30,000 Production of materials e.g. bulletins USD 20,000 Braodcasting information through various media USD 82,115.</t>
  </si>
  <si>
    <t>Acquisition and installation of automated agro-meteorological stations. Breakdown of costs is as follows: automated agro-met station USD25,000 Installation and operational costs USD 5000.</t>
  </si>
  <si>
    <t>Contractual services for technical feasibility study and training for farmers.</t>
  </si>
  <si>
    <t>Put in place site pilot for water tanks. Breakdown of costs is as follows: 10,000L tanks and drip irrigation equipment USD 15070; Works for installation and livestock troughs USD 8,000.</t>
  </si>
  <si>
    <t>Contractual Services with professional for training, capitalisation.</t>
  </si>
  <si>
    <t>Exchange visits among waters Users Associations members.</t>
  </si>
  <si>
    <t>Engage consultant for technical study and feasibility, control and monitoring. Breakdown of unit cost as follows: (i) 50 USD/per ha for study; (ii) 43 USD for control and monitoring.</t>
  </si>
  <si>
    <t>Landscape restoration and reforestation and anti erosion systems, e.g.  building of benches and terraces, contour bunds and gully plugs etc. Nurseries will be established for indigenous tree species. Breakdown of the unit cost is as follows: (i) restoration and reforestation USD 150/ha antierosion systems USD 379/ha.</t>
  </si>
  <si>
    <t xml:space="preserve">Engage national consultant per IFAD procurement procedures for technical study, control and monitoring in relation to the rehabilitation of irrigated perimeters to evaluate the surface area. The average duration of the study is 3 to 4 months. 
Engage national personnel on procurement and accounting (USD 180,000). </t>
  </si>
  <si>
    <t>Studies (25 Surveys) to put in place innovative systems for target of 15,000 Ha. Each study has an average duration of 3 to 4 months.</t>
  </si>
  <si>
    <t>Traning and trip abroad</t>
  </si>
  <si>
    <t>Project training</t>
  </si>
  <si>
    <t>Regional Environment and Climate Officer</t>
  </si>
  <si>
    <t>GCF Environment and Climate Officer</t>
  </si>
  <si>
    <t>Activity 1.2.3. Promotion and dissemination of meteorological and Climate Smart Agriculture practices</t>
  </si>
  <si>
    <t>IFAD Grant Total (USD)</t>
  </si>
  <si>
    <t>IFAD Loan Total (USD)</t>
  </si>
  <si>
    <t>Total (USD)</t>
  </si>
  <si>
    <t>Year 6 (USD)</t>
  </si>
  <si>
    <t>Year 5 (USD)</t>
  </si>
  <si>
    <t>Year 4 (USD)</t>
  </si>
  <si>
    <t>Year 3 (USD)</t>
  </si>
  <si>
    <t>Year 2 (USD)</t>
  </si>
  <si>
    <t>Year 1 (USD)</t>
  </si>
  <si>
    <t>Total Cost (USD)</t>
  </si>
</sst>
</file>

<file path=xl/styles.xml><?xml version="1.0" encoding="utf-8"?>
<styleSheet xmlns="http://schemas.openxmlformats.org/spreadsheetml/2006/main">
  <numFmts count="25">
    <numFmt numFmtId="41" formatCode="_-* #,##0_-;\-* #,##0_-;_-* &quot;-&quot;_-;_-@_-"/>
    <numFmt numFmtId="44" formatCode="_-&quot;USh&quot;* #,##0.00_-;\-&quot;USh&quot;* #,##0.00_-;_-&quot;USh&quot;* &quot;-&quot;??_-;_-@_-"/>
    <numFmt numFmtId="43" formatCode="_-* #,##0.00_-;\-* #,##0.00_-;_-* &quot;-&quot;??_-;_-@_-"/>
    <numFmt numFmtId="164" formatCode="_(&quot;$&quot;* #,##0_);_(&quot;$&quot;* \(#,##0\);_(&quot;$&quot;* &quot;-&quot;??_);_(@_)"/>
    <numFmt numFmtId="165" formatCode="_-* #,##0.000_-;\-* #,##0.000_-;_-* &quot;-&quot;_-;_-@_-"/>
    <numFmt numFmtId="166" formatCode="_-* #,##0.0_-;\-* #,##0.0_-;_-* &quot;-&quot;_-;_-@_-"/>
    <numFmt numFmtId="167" formatCode="_-* #,##0.00_-;\-* #,##0.00_-;_-* &quot;-&quot;_-;_-@_-"/>
    <numFmt numFmtId="168" formatCode="_(* #,##0_);_(* \(#,##0\);_(* &quot;-&quot;??_);_(@_)"/>
    <numFmt numFmtId="169" formatCode="_(* #,##0.00000_);_(* \(#,##0.00000\);_(* &quot;-&quot;??_);_(@_)"/>
    <numFmt numFmtId="170" formatCode="0.0%"/>
    <numFmt numFmtId="171" formatCode="_(* #,##0.00_);_(* \(#,##0.00\);_(* &quot;-&quot;??_);_(@_)"/>
    <numFmt numFmtId="172" formatCode="_-&quot;£&quot;* #,##0.00_-;\-&quot;£&quot;* #,##0.00_-;_-&quot;£&quot;* &quot;-&quot;??_-;_-@_-"/>
    <numFmt numFmtId="173" formatCode="_([$€]* #,##0.00_);_([$€]* \(#,##0.00\);_([$€]* &quot;-&quot;??_);_(@_)"/>
    <numFmt numFmtId="174" formatCode="_-* #,##0.00\ _€_-;\-* #,##0.00\ _€_-;_-* &quot;-&quot;??\ _€_-;_-@_-"/>
    <numFmt numFmtId="175" formatCode="_-&quot;L.&quot;\ * #,##0_-;\-&quot;L.&quot;\ * #,##0_-;_-&quot;L.&quot;\ * &quot;-&quot;_-;_-@_-"/>
    <numFmt numFmtId="176" formatCode="_(* #,##0_);_(* \(#,##0\);_(* &quot;-&quot;_);_(@_)"/>
    <numFmt numFmtId="177" formatCode="_(* #,##0.0000000_);_(* \(#,##0.0000000\);_(* &quot;-&quot;_);_(@_)"/>
    <numFmt numFmtId="178" formatCode="&quot;$&quot;#,##0"/>
    <numFmt numFmtId="179" formatCode="_-* #,##0\ _A_r_-;\-* #,##0\ _A_r_-;_-* &quot;-&quot;\ _A_r_-;_-@_-"/>
    <numFmt numFmtId="180" formatCode="&quot;$&quot;#,##0.00"/>
    <numFmt numFmtId="181" formatCode="_-* #,##0\ _€_-;\-* #,##0\ _€_-;_-* &quot;-&quot;??\ _€_-;_-@_-"/>
    <numFmt numFmtId="182" formatCode="_-* #,##0.000000000\ _€_-;\-* #,##0.000000000\ _€_-;_-* &quot;-&quot;??\ _€_-;_-@_-"/>
    <numFmt numFmtId="183" formatCode="_-* #,##0.0000\ _€_-;\-* #,##0.0000\ _€_-;_-* &quot;-&quot;??\ _€_-;_-@_-"/>
    <numFmt numFmtId="184" formatCode="_-* #,##0.00\ _F_-;\-* #,##0.00\ _F_-;_-* &quot;-&quot;??\ _F_-;_-@_-"/>
    <numFmt numFmtId="185" formatCode="_-* #,##0.00000\ _€_-;\-* #,##0.00000\ _€_-;_-* &quot;-&quot;??\ _€_-;_-@_-"/>
  </numFmts>
  <fonts count="82">
    <font>
      <sz val="11"/>
      <color theme="1"/>
      <name val="Calibri"/>
      <family val="2"/>
      <charset val="1"/>
      <scheme val="minor"/>
    </font>
    <font>
      <sz val="11"/>
      <color theme="1"/>
      <name val="Calibri"/>
      <family val="2"/>
      <charset val="1"/>
      <scheme val="minor"/>
    </font>
    <font>
      <sz val="10"/>
      <name val="Verdana"/>
      <family val="2"/>
    </font>
    <font>
      <sz val="11"/>
      <color rgb="FF9C0006"/>
      <name val="Calibri"/>
      <family val="2"/>
      <charset val="1"/>
      <scheme val="minor"/>
    </font>
    <font>
      <b/>
      <sz val="11"/>
      <color theme="1"/>
      <name val="Calibri"/>
      <family val="2"/>
      <charset val="1"/>
      <scheme val="minor"/>
    </font>
    <font>
      <b/>
      <sz val="11"/>
      <color theme="1"/>
      <name val="Calibri"/>
      <family val="2"/>
      <scheme val="minor"/>
    </font>
    <font>
      <b/>
      <sz val="10"/>
      <name val="Verdana"/>
      <family val="2"/>
    </font>
    <font>
      <b/>
      <sz val="11"/>
      <color theme="1"/>
      <name val="Verdana"/>
      <family val="2"/>
    </font>
    <font>
      <sz val="11"/>
      <color theme="1"/>
      <name val="Verdana"/>
      <family val="2"/>
    </font>
    <font>
      <b/>
      <sz val="10"/>
      <color theme="1"/>
      <name val="Verdana"/>
      <family val="2"/>
    </font>
    <font>
      <sz val="10"/>
      <color theme="1"/>
      <name val="Verdana"/>
      <family val="2"/>
    </font>
    <font>
      <b/>
      <sz val="12"/>
      <name val="Verdana"/>
      <family val="2"/>
    </font>
    <font>
      <sz val="11"/>
      <name val="Verdana"/>
      <family val="2"/>
    </font>
    <font>
      <sz val="11"/>
      <color theme="1"/>
      <name val="Calibri"/>
      <family val="2"/>
      <scheme val="minor"/>
    </font>
    <font>
      <b/>
      <sz val="11"/>
      <name val="Verdana"/>
      <family val="2"/>
    </font>
    <font>
      <sz val="10"/>
      <color rgb="FF000000"/>
      <name val="Verdana"/>
      <family val="2"/>
    </font>
    <font>
      <i/>
      <sz val="10"/>
      <name val="Verdana"/>
      <family val="2"/>
    </font>
    <font>
      <b/>
      <sz val="14"/>
      <name val="Verdana"/>
      <family val="2"/>
    </font>
    <font>
      <sz val="11"/>
      <color indexed="8"/>
      <name val="Calibri"/>
      <family val="2"/>
    </font>
    <font>
      <sz val="11"/>
      <color indexed="9"/>
      <name val="Calibri"/>
      <family val="2"/>
    </font>
    <font>
      <sz val="11"/>
      <color indexed="10"/>
      <name val="Calibri"/>
      <family val="2"/>
    </font>
    <font>
      <b/>
      <sz val="11"/>
      <color indexed="52"/>
      <name val="Calibri"/>
      <family val="2"/>
    </font>
    <font>
      <sz val="11"/>
      <color indexed="52"/>
      <name val="Calibri"/>
      <family val="2"/>
    </font>
    <font>
      <b/>
      <sz val="11"/>
      <color indexed="9"/>
      <name val="Calibri"/>
      <family val="2"/>
    </font>
    <font>
      <sz val="10"/>
      <color indexed="8"/>
      <name val="Verdana"/>
      <family val="2"/>
    </font>
    <font>
      <i/>
      <sz val="10"/>
      <color indexed="8"/>
      <name val="Verdana"/>
      <family val="2"/>
    </font>
    <font>
      <sz val="10"/>
      <name val="Arial"/>
      <family val="2"/>
    </font>
    <font>
      <b/>
      <sz val="11"/>
      <color indexed="8"/>
      <name val="Verdana"/>
      <family val="2"/>
    </font>
    <font>
      <sz val="11"/>
      <color indexed="8"/>
      <name val="Verdana"/>
      <family val="2"/>
    </font>
    <font>
      <sz val="10"/>
      <color indexed="9"/>
      <name val="Verdana"/>
      <family val="2"/>
    </font>
    <font>
      <b/>
      <sz val="12"/>
      <color indexed="9"/>
      <name val="Verdana"/>
      <family val="2"/>
    </font>
    <font>
      <b/>
      <sz val="10"/>
      <color indexed="54"/>
      <name val="Verdana"/>
      <family val="2"/>
    </font>
    <font>
      <sz val="11"/>
      <color indexed="8"/>
      <name val="Arial"/>
      <family val="2"/>
    </font>
    <font>
      <b/>
      <sz val="10"/>
      <color indexed="8"/>
      <name val="Arial"/>
      <family val="2"/>
    </font>
    <font>
      <sz val="11"/>
      <color indexed="62"/>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u/>
      <sz val="11"/>
      <color theme="10"/>
      <name val="Calibri"/>
      <family val="2"/>
    </font>
    <font>
      <u/>
      <sz val="10"/>
      <color theme="10"/>
      <name val="Arial"/>
      <family val="2"/>
    </font>
    <font>
      <sz val="11"/>
      <color indexed="20"/>
      <name val="Calibri"/>
      <family val="2"/>
    </font>
    <font>
      <u/>
      <sz val="7.5"/>
      <color indexed="12"/>
      <name val="Arial"/>
      <family val="2"/>
    </font>
    <font>
      <sz val="11"/>
      <color indexed="60"/>
      <name val="Calibri"/>
      <family val="2"/>
    </font>
    <font>
      <sz val="8"/>
      <name val="Arial"/>
      <family val="2"/>
    </font>
    <font>
      <sz val="12"/>
      <color theme="1"/>
      <name val="Calibri"/>
      <family val="2"/>
      <scheme val="minor"/>
    </font>
    <font>
      <b/>
      <sz val="11"/>
      <color indexed="63"/>
      <name val="Calibri"/>
      <family val="2"/>
    </font>
    <font>
      <b/>
      <sz val="18"/>
      <color indexed="8"/>
      <name val="Cambria"/>
      <family val="1"/>
    </font>
    <font>
      <sz val="12"/>
      <color indexed="8"/>
      <name val="Arial"/>
      <family val="2"/>
    </font>
    <font>
      <b/>
      <sz val="18"/>
      <color indexed="56"/>
      <name val="Cambria"/>
      <family val="2"/>
    </font>
    <font>
      <b/>
      <sz val="12"/>
      <name val="Helv"/>
    </font>
    <font>
      <b/>
      <sz val="10"/>
      <name val="Helv"/>
    </font>
    <font>
      <b/>
      <sz val="18"/>
      <color indexed="62"/>
      <name val="Cambria"/>
      <family val="2"/>
    </font>
    <font>
      <b/>
      <sz val="11"/>
      <color indexed="8"/>
      <name val="Calibri"/>
      <family val="2"/>
    </font>
    <font>
      <sz val="9"/>
      <color theme="1"/>
      <name val="Cambria"/>
      <family val="1"/>
    </font>
    <font>
      <b/>
      <sz val="9"/>
      <color rgb="FF000000"/>
      <name val="Cambria"/>
      <family val="1"/>
    </font>
    <font>
      <b/>
      <sz val="9"/>
      <color theme="1"/>
      <name val="Cambria"/>
      <family val="1"/>
    </font>
    <font>
      <b/>
      <sz val="9"/>
      <name val="Cambria"/>
      <family val="1"/>
    </font>
    <font>
      <sz val="9"/>
      <color rgb="FF000000"/>
      <name val="Cambria"/>
      <family val="1"/>
    </font>
    <font>
      <sz val="9"/>
      <name val="Cambria"/>
      <family val="1"/>
    </font>
    <font>
      <b/>
      <sz val="9"/>
      <color rgb="FF0070C0"/>
      <name val="Cambria"/>
      <family val="1"/>
    </font>
    <font>
      <strike/>
      <sz val="9"/>
      <color rgb="FFFF0000"/>
      <name val="Cambria"/>
      <family val="1"/>
    </font>
    <font>
      <b/>
      <strike/>
      <sz val="9"/>
      <color rgb="FFFF0000"/>
      <name val="Cambria"/>
      <family val="1"/>
    </font>
    <font>
      <b/>
      <sz val="9"/>
      <color theme="0"/>
      <name val="Cambria"/>
      <family val="1"/>
    </font>
    <font>
      <i/>
      <sz val="9"/>
      <color rgb="FF0070C0"/>
      <name val="Cambria"/>
      <family val="1"/>
    </font>
    <font>
      <u/>
      <sz val="9"/>
      <color theme="1"/>
      <name val="Cambria"/>
      <family val="1"/>
    </font>
    <font>
      <i/>
      <u/>
      <sz val="9"/>
      <color theme="1"/>
      <name val="Cambria"/>
      <family val="1"/>
    </font>
    <font>
      <sz val="11"/>
      <name val="Calibri"/>
      <family val="2"/>
      <scheme val="minor"/>
    </font>
    <font>
      <b/>
      <sz val="11"/>
      <color rgb="FFFF0000"/>
      <name val="Calibri"/>
      <family val="2"/>
      <scheme val="minor"/>
    </font>
    <font>
      <b/>
      <sz val="11"/>
      <name val="Calibri"/>
      <family val="2"/>
      <scheme val="minor"/>
    </font>
    <font>
      <sz val="10"/>
      <color theme="1"/>
      <name val="Calibri"/>
      <family val="2"/>
      <scheme val="minor"/>
    </font>
    <font>
      <sz val="11"/>
      <color rgb="FF1F497D"/>
      <name val="Calibri"/>
      <family val="2"/>
      <scheme val="minor"/>
    </font>
    <font>
      <i/>
      <sz val="10"/>
      <color theme="1"/>
      <name val="Calibri"/>
      <family val="2"/>
      <scheme val="minor"/>
    </font>
    <font>
      <b/>
      <sz val="10"/>
      <color theme="1"/>
      <name val="Calibri"/>
      <family val="2"/>
      <scheme val="minor"/>
    </font>
    <font>
      <sz val="12"/>
      <name val="Calibri"/>
      <family val="2"/>
      <scheme val="minor"/>
    </font>
    <font>
      <b/>
      <sz val="12"/>
      <name val="Calibri"/>
      <family val="2"/>
      <scheme val="minor"/>
    </font>
    <font>
      <b/>
      <sz val="10"/>
      <name val="Calibri"/>
      <family val="2"/>
      <scheme val="minor"/>
    </font>
    <font>
      <b/>
      <u/>
      <sz val="12"/>
      <name val="Calibri"/>
      <family val="2"/>
      <scheme val="minor"/>
    </font>
    <font>
      <b/>
      <sz val="12"/>
      <color theme="1"/>
      <name val="Calibri"/>
      <family val="2"/>
      <scheme val="minor"/>
    </font>
    <font>
      <b/>
      <i/>
      <sz val="11"/>
      <color theme="1"/>
      <name val="Calibri"/>
      <family val="2"/>
      <scheme val="minor"/>
    </font>
    <font>
      <sz val="9"/>
      <color rgb="FFFF0000"/>
      <name val="Cambria"/>
      <family val="1"/>
    </font>
  </fonts>
  <fills count="48">
    <fill>
      <patternFill patternType="none"/>
    </fill>
    <fill>
      <patternFill patternType="gray125"/>
    </fill>
    <fill>
      <patternFill patternType="solid">
        <fgColor rgb="FFFFC7CE"/>
      </patternFill>
    </fill>
    <fill>
      <patternFill patternType="solid">
        <fgColor theme="6" tint="0.59999389629810485"/>
        <bgColor indexed="64"/>
      </patternFill>
    </fill>
    <fill>
      <patternFill patternType="solid">
        <fgColor theme="0" tint="-4.9989318521683403E-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7"/>
        <bgColor indexed="64"/>
      </patternFill>
    </fill>
    <fill>
      <patternFill patternType="solid">
        <fgColor indexed="9"/>
        <bgColor indexed="64"/>
      </patternFill>
    </fill>
    <fill>
      <patternFill patternType="solid">
        <fgColor indexed="22"/>
        <bgColor indexed="64"/>
      </patternFill>
    </fill>
    <fill>
      <patternFill patternType="solid">
        <fgColor indexed="24"/>
        <bgColor indexed="64"/>
      </patternFill>
    </fill>
    <fill>
      <patternFill patternType="solid">
        <fgColor indexed="26"/>
        <bgColor indexed="64"/>
      </patternFill>
    </fill>
    <fill>
      <patternFill patternType="solid">
        <fgColor indexed="26"/>
      </patternFill>
    </fill>
    <fill>
      <patternFill patternType="lightUp">
        <fgColor indexed="9"/>
        <bgColor indexed="27"/>
      </patternFill>
    </fill>
    <fill>
      <patternFill patternType="lightUp">
        <fgColor indexed="9"/>
        <bgColor indexed="26"/>
      </patternFill>
    </fill>
    <fill>
      <patternFill patternType="solid">
        <fgColor indexed="43"/>
      </patternFill>
    </fill>
    <fill>
      <patternFill patternType="solid">
        <fgColor theme="1"/>
        <bgColor indexed="64"/>
      </patternFill>
    </fill>
    <fill>
      <patternFill patternType="solid">
        <fgColor rgb="FFFFFF00"/>
        <bgColor indexed="64"/>
      </patternFill>
    </fill>
    <fill>
      <patternFill patternType="solid">
        <fgColor theme="9" tint="0.59999389629810485"/>
        <bgColor indexed="64"/>
      </patternFill>
    </fill>
    <fill>
      <patternFill patternType="solid">
        <fgColor theme="0"/>
        <bgColor indexed="64"/>
      </patternFill>
    </fill>
    <fill>
      <patternFill patternType="solid">
        <fgColor theme="6" tint="0.79998168889431442"/>
        <bgColor indexed="64"/>
      </patternFill>
    </fill>
    <fill>
      <patternFill patternType="solid">
        <fgColor rgb="FF00B0F0"/>
        <bgColor indexed="64"/>
      </patternFill>
    </fill>
    <fill>
      <patternFill patternType="solid">
        <fgColor theme="7" tint="0.39997558519241921"/>
        <bgColor indexed="64"/>
      </patternFill>
    </fill>
    <fill>
      <patternFill patternType="solid">
        <fgColor theme="4" tint="0.39997558519241921"/>
        <bgColor indexed="64"/>
      </patternFill>
    </fill>
    <fill>
      <patternFill patternType="solid">
        <fgColor theme="8" tint="0.79998168889431442"/>
        <bgColor indexed="64"/>
      </patternFill>
    </fill>
    <fill>
      <patternFill patternType="solid">
        <fgColor rgb="FFFFC000"/>
        <bgColor indexed="64"/>
      </patternFill>
    </fill>
    <fill>
      <patternFill patternType="solid">
        <fgColor theme="2"/>
        <bgColor indexed="64"/>
      </patternFill>
    </fill>
    <fill>
      <patternFill patternType="solid">
        <fgColor theme="9"/>
        <bgColor indexed="64"/>
      </patternFill>
    </fill>
    <fill>
      <patternFill patternType="solid">
        <fgColor theme="7" tint="-0.249977111117893"/>
        <bgColor indexed="64"/>
      </patternFill>
    </fill>
    <fill>
      <patternFill patternType="solid">
        <fgColor rgb="FFFF0000"/>
        <bgColor indexed="64"/>
      </patternFill>
    </fill>
  </fills>
  <borders count="15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medium">
        <color indexed="64"/>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indexed="64"/>
      </right>
      <top style="medium">
        <color indexed="64"/>
      </top>
      <bottom style="medium">
        <color indexed="64"/>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auto="1"/>
      </right>
      <top/>
      <bottom style="thin">
        <color auto="1"/>
      </bottom>
      <diagonal/>
    </border>
    <border>
      <left style="medium">
        <color indexed="64"/>
      </left>
      <right style="thin">
        <color auto="1"/>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medium">
        <color indexed="64"/>
      </left>
      <right style="thin">
        <color auto="1"/>
      </right>
      <top/>
      <bottom/>
      <diagonal/>
    </border>
    <border>
      <left style="thin">
        <color indexed="64"/>
      </left>
      <right style="thin">
        <color indexed="64"/>
      </right>
      <top/>
      <bottom/>
      <diagonal/>
    </border>
    <border>
      <left style="medium">
        <color indexed="64"/>
      </left>
      <right style="thin">
        <color theme="0"/>
      </right>
      <top/>
      <bottom/>
      <diagonal/>
    </border>
    <border>
      <left style="thin">
        <color theme="0"/>
      </left>
      <right style="thin">
        <color theme="0"/>
      </right>
      <top/>
      <bottom/>
      <diagonal/>
    </border>
    <border>
      <left style="medium">
        <color auto="1"/>
      </left>
      <right style="thin">
        <color auto="1"/>
      </right>
      <top style="thin">
        <color indexed="64"/>
      </top>
      <bottom style="medium">
        <color indexed="64"/>
      </bottom>
      <diagonal/>
    </border>
    <border>
      <left style="thin">
        <color auto="1"/>
      </left>
      <right style="thin">
        <color auto="1"/>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theme="0"/>
      </left>
      <right style="thin">
        <color theme="0"/>
      </right>
      <top/>
      <bottom style="thin">
        <color theme="0"/>
      </bottom>
      <diagonal/>
    </border>
    <border>
      <left style="thin">
        <color theme="0"/>
      </left>
      <right/>
      <top/>
      <bottom style="thin">
        <color theme="0"/>
      </bottom>
      <diagonal/>
    </border>
    <border>
      <left style="thin">
        <color theme="0"/>
      </left>
      <right/>
      <top style="thin">
        <color theme="0"/>
      </top>
      <bottom style="thin">
        <color theme="0"/>
      </bottom>
      <diagonal/>
    </border>
    <border>
      <left/>
      <right style="medium">
        <color theme="0"/>
      </right>
      <top style="medium">
        <color theme="0"/>
      </top>
      <bottom style="medium">
        <color theme="0"/>
      </bottom>
      <diagonal/>
    </border>
    <border>
      <left/>
      <right style="medium">
        <color theme="0"/>
      </right>
      <top style="medium">
        <color theme="0"/>
      </top>
      <bottom style="thin">
        <color theme="0"/>
      </bottom>
      <diagonal/>
    </border>
    <border>
      <left style="medium">
        <color indexed="64"/>
      </left>
      <right style="thin">
        <color theme="0"/>
      </right>
      <top/>
      <bottom style="thin">
        <color theme="0"/>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indexed="64"/>
      </top>
      <bottom/>
      <diagonal/>
    </border>
    <border>
      <left style="medium">
        <color auto="1"/>
      </left>
      <right style="medium">
        <color auto="1"/>
      </right>
      <top style="thin">
        <color indexed="64"/>
      </top>
      <bottom style="medium">
        <color indexed="64"/>
      </bottom>
      <diagonal/>
    </border>
    <border>
      <left style="thin">
        <color theme="0"/>
      </left>
      <right style="thin">
        <color theme="0"/>
      </right>
      <top style="thin">
        <color theme="0"/>
      </top>
      <bottom/>
      <diagonal/>
    </border>
    <border>
      <left style="thin">
        <color theme="0"/>
      </left>
      <right/>
      <top style="thin">
        <color theme="0"/>
      </top>
      <bottom/>
      <diagonal/>
    </border>
    <border>
      <left style="medium">
        <color indexed="64"/>
      </left>
      <right style="thin">
        <color theme="0"/>
      </right>
      <top style="medium">
        <color indexed="64"/>
      </top>
      <bottom style="thin">
        <color theme="0"/>
      </bottom>
      <diagonal/>
    </border>
    <border>
      <left style="thin">
        <color theme="0"/>
      </left>
      <right style="thin">
        <color theme="0"/>
      </right>
      <top style="medium">
        <color indexed="64"/>
      </top>
      <bottom style="thin">
        <color theme="0"/>
      </bottom>
      <diagonal/>
    </border>
    <border>
      <left style="thin">
        <color theme="0"/>
      </left>
      <right style="medium">
        <color indexed="64"/>
      </right>
      <top style="medium">
        <color indexed="64"/>
      </top>
      <bottom style="thin">
        <color theme="0"/>
      </bottom>
      <diagonal/>
    </border>
    <border>
      <left style="medium">
        <color indexed="64"/>
      </left>
      <right style="thin">
        <color theme="0"/>
      </right>
      <top style="thin">
        <color theme="0"/>
      </top>
      <bottom style="thin">
        <color theme="0"/>
      </bottom>
      <diagonal/>
    </border>
    <border>
      <left style="thin">
        <color theme="0"/>
      </left>
      <right style="medium">
        <color indexed="64"/>
      </right>
      <top/>
      <bottom style="thin">
        <color theme="0"/>
      </bottom>
      <diagonal/>
    </border>
    <border>
      <left style="thin">
        <color theme="0"/>
      </left>
      <right style="medium">
        <color indexed="64"/>
      </right>
      <top style="thin">
        <color theme="0"/>
      </top>
      <bottom style="thin">
        <color theme="0"/>
      </bottom>
      <diagonal/>
    </border>
    <border>
      <left style="medium">
        <color indexed="64"/>
      </left>
      <right style="thin">
        <color theme="0"/>
      </right>
      <top style="thin">
        <color theme="0"/>
      </top>
      <bottom style="medium">
        <color indexed="64"/>
      </bottom>
      <diagonal/>
    </border>
    <border>
      <left style="thin">
        <color theme="0"/>
      </left>
      <right style="thin">
        <color theme="0"/>
      </right>
      <top style="thin">
        <color theme="0"/>
      </top>
      <bottom style="medium">
        <color indexed="64"/>
      </bottom>
      <diagonal/>
    </border>
    <border>
      <left style="thin">
        <color theme="0"/>
      </left>
      <right style="medium">
        <color indexed="64"/>
      </right>
      <top style="thin">
        <color theme="0"/>
      </top>
      <bottom style="medium">
        <color indexed="64"/>
      </bottom>
      <diagonal/>
    </border>
    <border>
      <left style="medium">
        <color indexed="64"/>
      </left>
      <right style="medium">
        <color indexed="64"/>
      </right>
      <top style="medium">
        <color indexed="64"/>
      </top>
      <bottom style="thin">
        <color theme="0"/>
      </bottom>
      <diagonal/>
    </border>
    <border>
      <left/>
      <right style="thin">
        <color theme="0"/>
      </right>
      <top/>
      <bottom style="thin">
        <color theme="0"/>
      </bottom>
      <diagonal/>
    </border>
    <border>
      <left style="medium">
        <color indexed="64"/>
      </left>
      <right style="medium">
        <color indexed="64"/>
      </right>
      <top style="thin">
        <color theme="0"/>
      </top>
      <bottom style="medium">
        <color indexed="64"/>
      </bottom>
      <diagonal/>
    </border>
    <border>
      <left style="thin">
        <color indexed="64"/>
      </left>
      <right style="thin">
        <color indexed="64"/>
      </right>
      <top/>
      <bottom style="thin">
        <color indexed="64"/>
      </bottom>
      <diagonal/>
    </border>
    <border>
      <left/>
      <right/>
      <top style="thin">
        <color theme="0"/>
      </top>
      <bottom/>
      <diagonal/>
    </border>
    <border>
      <left style="medium">
        <color auto="1"/>
      </left>
      <right style="thin">
        <color auto="1"/>
      </right>
      <top/>
      <bottom style="medium">
        <color indexed="64"/>
      </bottom>
      <diagonal/>
    </border>
    <border>
      <left style="thin">
        <color indexed="64"/>
      </left>
      <right style="thin">
        <color indexed="64"/>
      </right>
      <top/>
      <bottom style="medium">
        <color indexed="64"/>
      </bottom>
      <diagonal/>
    </border>
    <border>
      <left style="thin">
        <color auto="1"/>
      </left>
      <right style="medium">
        <color indexed="64"/>
      </right>
      <top style="thin">
        <color auto="1"/>
      </top>
      <bottom/>
      <diagonal/>
    </border>
    <border>
      <left style="medium">
        <color indexed="64"/>
      </left>
      <right/>
      <top/>
      <bottom style="thin">
        <color auto="1"/>
      </bottom>
      <diagonal/>
    </border>
    <border>
      <left style="medium">
        <color indexed="64"/>
      </left>
      <right/>
      <top style="thin">
        <color indexed="64"/>
      </top>
      <bottom/>
      <diagonal/>
    </border>
    <border>
      <left style="thin">
        <color auto="1"/>
      </left>
      <right style="medium">
        <color indexed="64"/>
      </right>
      <top/>
      <bottom style="thin">
        <color auto="1"/>
      </bottom>
      <diagonal/>
    </border>
    <border>
      <left style="thin">
        <color auto="1"/>
      </left>
      <right style="medium">
        <color indexed="64"/>
      </right>
      <top/>
      <bottom/>
      <diagonal/>
    </border>
    <border>
      <left style="thin">
        <color auto="1"/>
      </left>
      <right style="medium">
        <color indexed="64"/>
      </right>
      <top style="medium">
        <color indexed="64"/>
      </top>
      <bottom style="medium">
        <color indexed="64"/>
      </bottom>
      <diagonal/>
    </border>
    <border>
      <left style="medium">
        <color indexed="64"/>
      </left>
      <right style="thin">
        <color theme="0"/>
      </right>
      <top style="thin">
        <color theme="0"/>
      </top>
      <bottom/>
      <diagonal/>
    </border>
    <border>
      <left style="thin">
        <color theme="0"/>
      </left>
      <right style="medium">
        <color indexed="64"/>
      </right>
      <top style="thin">
        <color theme="0"/>
      </top>
      <bottom/>
      <diagonal/>
    </border>
    <border>
      <left style="thin">
        <color theme="0"/>
      </left>
      <right/>
      <top/>
      <bottom/>
      <diagonal/>
    </border>
    <border>
      <left style="medium">
        <color indexed="64"/>
      </left>
      <right/>
      <top style="thin">
        <color theme="1"/>
      </top>
      <bottom style="thin">
        <color theme="1"/>
      </bottom>
      <diagonal/>
    </border>
    <border>
      <left/>
      <right/>
      <top style="thin">
        <color theme="1"/>
      </top>
      <bottom style="thin">
        <color theme="1"/>
      </bottom>
      <diagonal/>
    </border>
    <border>
      <left/>
      <right style="medium">
        <color indexed="64"/>
      </right>
      <top style="thin">
        <color theme="1"/>
      </top>
      <bottom style="thin">
        <color theme="1"/>
      </bottom>
      <diagonal/>
    </border>
    <border>
      <left style="medium">
        <color indexed="64"/>
      </left>
      <right style="medium">
        <color indexed="64"/>
      </right>
      <top style="medium">
        <color indexed="64"/>
      </top>
      <bottom style="thin">
        <color theme="1"/>
      </bottom>
      <diagonal/>
    </border>
    <border>
      <left style="medium">
        <color indexed="64"/>
      </left>
      <right style="medium">
        <color indexed="64"/>
      </right>
      <top style="thin">
        <color theme="1"/>
      </top>
      <bottom/>
      <diagonal/>
    </border>
    <border>
      <left/>
      <right style="thin">
        <color theme="0"/>
      </right>
      <top style="thin">
        <color theme="0"/>
      </top>
      <bottom/>
      <diagonal/>
    </border>
    <border>
      <left style="medium">
        <color indexed="64"/>
      </left>
      <right style="medium">
        <color theme="0"/>
      </right>
      <top style="medium">
        <color indexed="64"/>
      </top>
      <bottom/>
      <diagonal/>
    </border>
    <border>
      <left style="medium">
        <color theme="0"/>
      </left>
      <right style="medium">
        <color theme="0"/>
      </right>
      <top style="medium">
        <color indexed="64"/>
      </top>
      <bottom/>
      <diagonal/>
    </border>
    <border>
      <left style="medium">
        <color theme="0"/>
      </left>
      <right style="medium">
        <color theme="0"/>
      </right>
      <top style="medium">
        <color indexed="64"/>
      </top>
      <bottom style="medium">
        <color theme="0"/>
      </bottom>
      <diagonal/>
    </border>
    <border>
      <left style="medium">
        <color theme="0"/>
      </left>
      <right/>
      <top style="medium">
        <color indexed="64"/>
      </top>
      <bottom style="medium">
        <color theme="0"/>
      </bottom>
      <diagonal/>
    </border>
    <border>
      <left style="medium">
        <color theme="0"/>
      </left>
      <right style="medium">
        <color indexed="64"/>
      </right>
      <top style="medium">
        <color indexed="64"/>
      </top>
      <bottom style="medium">
        <color theme="0"/>
      </bottom>
      <diagonal/>
    </border>
    <border>
      <left/>
      <right style="medium">
        <color theme="0"/>
      </right>
      <top/>
      <bottom style="medium">
        <color theme="0"/>
      </bottom>
      <diagonal/>
    </border>
    <border>
      <left style="medium">
        <color theme="0"/>
      </left>
      <right style="medium">
        <color theme="0"/>
      </right>
      <top/>
      <bottom style="medium">
        <color theme="0"/>
      </bottom>
      <diagonal/>
    </border>
    <border>
      <left style="medium">
        <color theme="0"/>
      </left>
      <right/>
      <top/>
      <bottom style="medium">
        <color theme="0"/>
      </bottom>
      <diagonal/>
    </border>
    <border>
      <left style="medium">
        <color theme="0"/>
      </left>
      <right style="medium">
        <color indexed="64"/>
      </right>
      <top/>
      <bottom style="medium">
        <color theme="0"/>
      </bottom>
      <diagonal/>
    </border>
    <border>
      <left style="medium">
        <color theme="0"/>
      </left>
      <right style="medium">
        <color theme="0"/>
      </right>
      <top style="medium">
        <color theme="0"/>
      </top>
      <bottom style="medium">
        <color theme="0"/>
      </bottom>
      <diagonal/>
    </border>
    <border>
      <left style="medium">
        <color theme="0"/>
      </left>
      <right/>
      <top style="medium">
        <color theme="0"/>
      </top>
      <bottom style="medium">
        <color theme="0"/>
      </bottom>
      <diagonal/>
    </border>
    <border>
      <left style="medium">
        <color theme="0"/>
      </left>
      <right style="medium">
        <color indexed="64"/>
      </right>
      <top style="medium">
        <color theme="0"/>
      </top>
      <bottom style="medium">
        <color theme="0"/>
      </bottom>
      <diagonal/>
    </border>
    <border>
      <left/>
      <right style="medium">
        <color theme="0"/>
      </right>
      <top style="medium">
        <color theme="0"/>
      </top>
      <bottom/>
      <diagonal/>
    </border>
    <border>
      <left style="medium">
        <color theme="0"/>
      </left>
      <right style="medium">
        <color theme="0"/>
      </right>
      <top style="medium">
        <color theme="0"/>
      </top>
      <bottom/>
      <diagonal/>
    </border>
    <border>
      <left style="medium">
        <color theme="0"/>
      </left>
      <right/>
      <top style="medium">
        <color theme="0"/>
      </top>
      <bottom/>
      <diagonal/>
    </border>
    <border>
      <left style="medium">
        <color theme="0"/>
      </left>
      <right style="medium">
        <color indexed="64"/>
      </right>
      <top style="medium">
        <color theme="0"/>
      </top>
      <bottom/>
      <diagonal/>
    </border>
    <border>
      <left style="medium">
        <color indexed="64"/>
      </left>
      <right style="medium">
        <color theme="0"/>
      </right>
      <top/>
      <bottom style="medium">
        <color theme="0"/>
      </bottom>
      <diagonal/>
    </border>
    <border>
      <left style="medium">
        <color indexed="64"/>
      </left>
      <right style="medium">
        <color theme="0"/>
      </right>
      <top style="medium">
        <color theme="0"/>
      </top>
      <bottom/>
      <diagonal/>
    </border>
    <border>
      <left style="thin">
        <color auto="1"/>
      </left>
      <right/>
      <top/>
      <bottom style="thin">
        <color auto="1"/>
      </bottom>
      <diagonal/>
    </border>
    <border>
      <left style="medium">
        <color indexed="64"/>
      </left>
      <right style="thin">
        <color theme="0"/>
      </right>
      <top style="thin">
        <color auto="1"/>
      </top>
      <bottom/>
      <diagonal/>
    </border>
    <border>
      <left style="thin">
        <color theme="0"/>
      </left>
      <right style="thin">
        <color theme="0"/>
      </right>
      <top style="thin">
        <color auto="1"/>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theme="0"/>
      </left>
      <right style="medium">
        <color indexed="64"/>
      </right>
      <top style="thin">
        <color indexed="64"/>
      </top>
      <bottom style="thin">
        <color theme="0"/>
      </bottom>
      <diagonal/>
    </border>
    <border>
      <left style="medium">
        <color indexed="64"/>
      </left>
      <right style="thin">
        <color theme="0"/>
      </right>
      <top/>
      <bottom style="medium">
        <color indexed="64"/>
      </bottom>
      <diagonal/>
    </border>
    <border>
      <left style="thin">
        <color theme="0"/>
      </left>
      <right style="thin">
        <color theme="0"/>
      </right>
      <top/>
      <bottom style="medium">
        <color indexed="64"/>
      </bottom>
      <diagonal/>
    </border>
    <border>
      <left style="thin">
        <color theme="0"/>
      </left>
      <right/>
      <top style="thin">
        <color theme="0"/>
      </top>
      <bottom style="medium">
        <color indexed="64"/>
      </bottom>
      <diagonal/>
    </border>
    <border>
      <left/>
      <right/>
      <top style="thin">
        <color indexed="64"/>
      </top>
      <bottom style="medium">
        <color indexed="64"/>
      </bottom>
      <diagonal/>
    </border>
    <border>
      <left style="medium">
        <color indexed="64"/>
      </left>
      <right/>
      <top style="thin">
        <color theme="1"/>
      </top>
      <bottom style="thin">
        <color indexed="64"/>
      </bottom>
      <diagonal/>
    </border>
    <border>
      <left/>
      <right/>
      <top style="thin">
        <color theme="1"/>
      </top>
      <bottom style="thin">
        <color indexed="64"/>
      </bottom>
      <diagonal/>
    </border>
    <border>
      <left/>
      <right style="medium">
        <color indexed="64"/>
      </right>
      <top style="thin">
        <color theme="1"/>
      </top>
      <bottom style="thin">
        <color indexed="64"/>
      </bottom>
      <diagonal/>
    </border>
    <border>
      <left style="medium">
        <color indexed="64"/>
      </left>
      <right style="thin">
        <color theme="0"/>
      </right>
      <top style="medium">
        <color indexed="64"/>
      </top>
      <bottom/>
      <diagonal/>
    </border>
    <border>
      <left style="thin">
        <color theme="0"/>
      </left>
      <right style="thin">
        <color theme="0"/>
      </right>
      <top style="medium">
        <color indexed="64"/>
      </top>
      <bottom/>
      <diagonal/>
    </border>
    <border>
      <left style="thin">
        <color theme="0"/>
      </left>
      <right/>
      <top style="medium">
        <color indexed="64"/>
      </top>
      <bottom style="thin">
        <color theme="0"/>
      </bottom>
      <diagonal/>
    </border>
    <border>
      <left style="medium">
        <color indexed="64"/>
      </left>
      <right/>
      <top/>
      <bottom style="thin">
        <color theme="0"/>
      </bottom>
      <diagonal/>
    </border>
    <border>
      <left style="medium">
        <color indexed="64"/>
      </left>
      <right/>
      <top style="thin">
        <color theme="0"/>
      </top>
      <bottom style="thin">
        <color theme="0"/>
      </bottom>
      <diagonal/>
    </border>
    <border>
      <left style="thin">
        <color indexed="64"/>
      </left>
      <right style="thin">
        <color indexed="64"/>
      </right>
      <top style="medium">
        <color indexed="64"/>
      </top>
      <bottom/>
      <diagonal/>
    </border>
    <border>
      <left style="thin">
        <color indexed="64"/>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top/>
      <bottom style="medium">
        <color indexed="64"/>
      </bottom>
      <diagonal/>
    </border>
    <border>
      <left style="medium">
        <color indexed="64"/>
      </left>
      <right style="thin">
        <color auto="1"/>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auto="1"/>
      </left>
      <right/>
      <top style="thin">
        <color auto="1"/>
      </top>
      <bottom/>
      <diagonal/>
    </border>
    <border>
      <left/>
      <right style="thin">
        <color indexed="64"/>
      </right>
      <top/>
      <bottom style="thin">
        <color indexed="64"/>
      </bottom>
      <diagonal/>
    </border>
    <border>
      <left/>
      <right/>
      <top/>
      <bottom style="thin">
        <color indexed="64"/>
      </bottom>
      <diagonal/>
    </border>
    <border>
      <left/>
      <right style="thin">
        <color indexed="64"/>
      </right>
      <top/>
      <bottom/>
      <diagonal/>
    </border>
    <border>
      <left/>
      <right style="thin">
        <color indexed="64"/>
      </right>
      <top style="thin">
        <color indexed="64"/>
      </top>
      <bottom/>
      <diagonal/>
    </border>
    <border>
      <left/>
      <right/>
      <top style="thin">
        <color indexed="64"/>
      </top>
      <bottom/>
      <diagonal/>
    </border>
    <border>
      <left/>
      <right style="thin">
        <color indexed="64"/>
      </right>
      <top/>
      <bottom style="medium">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64"/>
      </left>
      <right style="thin">
        <color auto="1"/>
      </right>
      <top style="medium">
        <color indexed="64"/>
      </top>
      <bottom/>
      <diagonal/>
    </border>
  </borders>
  <cellStyleXfs count="257">
    <xf numFmtId="0" fontId="0" fillId="0" borderId="0"/>
    <xf numFmtId="41"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13" fillId="0" borderId="0"/>
    <xf numFmtId="9" fontId="13" fillId="0" borderId="0" applyFont="0" applyFill="0" applyBorder="0" applyAlignment="0" applyProtection="0"/>
    <xf numFmtId="41" fontId="13" fillId="0" borderId="0" applyFont="0" applyFill="0" applyBorder="0" applyAlignment="0" applyProtection="0"/>
    <xf numFmtId="0" fontId="13" fillId="0" borderId="0"/>
    <xf numFmtId="0" fontId="18" fillId="5" borderId="0" applyNumberFormat="0" applyBorder="0" applyAlignment="0" applyProtection="0"/>
    <xf numFmtId="0" fontId="18" fillId="6" borderId="0" applyNumberFormat="0" applyBorder="0" applyAlignment="0" applyProtection="0"/>
    <xf numFmtId="0" fontId="18" fillId="7" borderId="0" applyNumberFormat="0" applyBorder="0" applyAlignment="0" applyProtection="0"/>
    <xf numFmtId="0" fontId="18" fillId="8"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5" borderId="0" applyNumberFormat="0" applyBorder="0" applyAlignment="0" applyProtection="0"/>
    <xf numFmtId="0" fontId="18" fillId="6" borderId="0" applyNumberFormat="0" applyBorder="0" applyAlignment="0" applyProtection="0"/>
    <xf numFmtId="0" fontId="18" fillId="7" borderId="0" applyNumberFormat="0" applyBorder="0" applyAlignment="0" applyProtection="0"/>
    <xf numFmtId="0" fontId="18" fillId="8"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11" borderId="0" applyNumberFormat="0" applyBorder="0" applyAlignment="0" applyProtection="0"/>
    <xf numFmtId="0" fontId="18" fillId="12" borderId="0" applyNumberFormat="0" applyBorder="0" applyAlignment="0" applyProtection="0"/>
    <xf numFmtId="0" fontId="18" fillId="13" borderId="0" applyNumberFormat="0" applyBorder="0" applyAlignment="0" applyProtection="0"/>
    <xf numFmtId="0" fontId="18" fillId="8" borderId="0" applyNumberFormat="0" applyBorder="0" applyAlignment="0" applyProtection="0"/>
    <xf numFmtId="0" fontId="18" fillId="11" borderId="0" applyNumberFormat="0" applyBorder="0" applyAlignment="0" applyProtection="0"/>
    <xf numFmtId="0" fontId="18" fillId="14" borderId="0" applyNumberFormat="0" applyBorder="0" applyAlignment="0" applyProtection="0"/>
    <xf numFmtId="0" fontId="18" fillId="11" borderId="0" applyNumberFormat="0" applyBorder="0" applyAlignment="0" applyProtection="0"/>
    <xf numFmtId="0" fontId="18" fillId="12" borderId="0" applyNumberFormat="0" applyBorder="0" applyAlignment="0" applyProtection="0"/>
    <xf numFmtId="0" fontId="18" fillId="13" borderId="0" applyNumberFormat="0" applyBorder="0" applyAlignment="0" applyProtection="0"/>
    <xf numFmtId="0" fontId="18" fillId="8" borderId="0" applyNumberFormat="0" applyBorder="0" applyAlignment="0" applyProtection="0"/>
    <xf numFmtId="0" fontId="18" fillId="11" borderId="0" applyNumberFormat="0" applyBorder="0" applyAlignment="0" applyProtection="0"/>
    <xf numFmtId="0" fontId="18" fillId="14" borderId="0" applyNumberFormat="0" applyBorder="0" applyAlignment="0" applyProtection="0"/>
    <xf numFmtId="0" fontId="19" fillId="15" borderId="0" applyNumberFormat="0" applyBorder="0" applyAlignment="0" applyProtection="0"/>
    <xf numFmtId="0" fontId="19" fillId="12" borderId="0" applyNumberFormat="0" applyBorder="0" applyAlignment="0" applyProtection="0"/>
    <xf numFmtId="0" fontId="19" fillId="13" borderId="0" applyNumberFormat="0" applyBorder="0" applyAlignment="0" applyProtection="0"/>
    <xf numFmtId="0" fontId="19" fillId="16" borderId="0" applyNumberFormat="0" applyBorder="0" applyAlignment="0" applyProtection="0"/>
    <xf numFmtId="0" fontId="19" fillId="17" borderId="0" applyNumberFormat="0" applyBorder="0" applyAlignment="0" applyProtection="0"/>
    <xf numFmtId="0" fontId="19" fillId="18" borderId="0" applyNumberFormat="0" applyBorder="0" applyAlignment="0" applyProtection="0"/>
    <xf numFmtId="0" fontId="19" fillId="15" borderId="0" applyNumberFormat="0" applyBorder="0" applyAlignment="0" applyProtection="0"/>
    <xf numFmtId="0" fontId="19" fillId="12" borderId="0" applyNumberFormat="0" applyBorder="0" applyAlignment="0" applyProtection="0"/>
    <xf numFmtId="0" fontId="19" fillId="13" borderId="0" applyNumberFormat="0" applyBorder="0" applyAlignment="0" applyProtection="0"/>
    <xf numFmtId="0" fontId="19" fillId="16" borderId="0" applyNumberFormat="0" applyBorder="0" applyAlignment="0" applyProtection="0"/>
    <xf numFmtId="0" fontId="19"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19" fillId="20" borderId="0" applyNumberFormat="0" applyBorder="0" applyAlignment="0" applyProtection="0"/>
    <xf numFmtId="0" fontId="19" fillId="21" borderId="0" applyNumberFormat="0" applyBorder="0" applyAlignment="0" applyProtection="0"/>
    <xf numFmtId="0" fontId="19" fillId="16" borderId="0" applyNumberFormat="0" applyBorder="0" applyAlignment="0" applyProtection="0"/>
    <xf numFmtId="0" fontId="19" fillId="17" borderId="0" applyNumberFormat="0" applyBorder="0" applyAlignment="0" applyProtection="0"/>
    <xf numFmtId="0" fontId="19" fillId="22" borderId="0" applyNumberFormat="0" applyBorder="0" applyAlignment="0" applyProtection="0"/>
    <xf numFmtId="0" fontId="20" fillId="0" borderId="0" applyNumberFormat="0" applyFill="0" applyBorder="0" applyAlignment="0" applyProtection="0"/>
    <xf numFmtId="0" fontId="3" fillId="2" borderId="0" applyNumberFormat="0" applyBorder="0" applyAlignment="0" applyProtection="0"/>
    <xf numFmtId="0" fontId="21" fillId="23" borderId="125" applyNumberFormat="0" applyAlignment="0" applyProtection="0"/>
    <xf numFmtId="0" fontId="21" fillId="23" borderId="125" applyNumberFormat="0" applyAlignment="0" applyProtection="0"/>
    <xf numFmtId="0" fontId="21" fillId="23" borderId="125" applyNumberFormat="0" applyAlignment="0" applyProtection="0"/>
    <xf numFmtId="0" fontId="21" fillId="23" borderId="125" applyNumberFormat="0" applyAlignment="0" applyProtection="0"/>
    <xf numFmtId="0" fontId="21" fillId="23" borderId="125" applyNumberFormat="0" applyAlignment="0" applyProtection="0"/>
    <xf numFmtId="0" fontId="21" fillId="23" borderId="125" applyNumberFormat="0" applyAlignment="0" applyProtection="0"/>
    <xf numFmtId="0" fontId="21" fillId="23" borderId="125" applyNumberFormat="0" applyAlignment="0" applyProtection="0"/>
    <xf numFmtId="0" fontId="21" fillId="23" borderId="125" applyNumberFormat="0" applyAlignment="0" applyProtection="0"/>
    <xf numFmtId="0" fontId="21" fillId="23" borderId="125" applyNumberFormat="0" applyAlignment="0" applyProtection="0"/>
    <xf numFmtId="0" fontId="21" fillId="23" borderId="125" applyNumberFormat="0" applyAlignment="0" applyProtection="0"/>
    <xf numFmtId="0" fontId="21" fillId="23" borderId="125" applyNumberFormat="0" applyAlignment="0" applyProtection="0"/>
    <xf numFmtId="0" fontId="22" fillId="0" borderId="126" applyNumberFormat="0" applyFill="0" applyAlignment="0" applyProtection="0"/>
    <xf numFmtId="0" fontId="23" fillId="24" borderId="127" applyNumberFormat="0" applyAlignment="0" applyProtection="0"/>
    <xf numFmtId="1" fontId="24" fillId="25" borderId="24">
      <alignment horizontal="right" vertical="center" indent="1"/>
    </xf>
    <xf numFmtId="1" fontId="24" fillId="25" borderId="24">
      <alignment horizontal="right" vertical="center"/>
    </xf>
    <xf numFmtId="0" fontId="25" fillId="25" borderId="24">
      <alignment horizontal="right" vertical="center"/>
    </xf>
    <xf numFmtId="0" fontId="25" fillId="25" borderId="24">
      <alignment horizontal="right" vertical="center"/>
    </xf>
    <xf numFmtId="0" fontId="26" fillId="26" borderId="128"/>
    <xf numFmtId="0" fontId="27" fillId="27" borderId="24">
      <alignment horizontal="center" vertical="center"/>
    </xf>
    <xf numFmtId="0" fontId="27" fillId="27" borderId="24">
      <alignment horizontal="center" vertical="center"/>
    </xf>
    <xf numFmtId="1" fontId="24" fillId="26" borderId="24">
      <alignment horizontal="right" vertical="center" indent="1"/>
    </xf>
    <xf numFmtId="1" fontId="24" fillId="26" borderId="24">
      <alignment horizontal="right" vertical="center"/>
    </xf>
    <xf numFmtId="0" fontId="26" fillId="26" borderId="0"/>
    <xf numFmtId="0" fontId="28" fillId="26" borderId="24">
      <alignment horizontal="left" vertical="center"/>
    </xf>
    <xf numFmtId="0" fontId="28" fillId="26" borderId="24">
      <alignment horizontal="left" vertical="center"/>
    </xf>
    <xf numFmtId="0" fontId="28" fillId="26" borderId="129">
      <alignment vertical="center"/>
    </xf>
    <xf numFmtId="0" fontId="27" fillId="26" borderId="130">
      <alignment vertical="center"/>
    </xf>
    <xf numFmtId="0" fontId="28" fillId="26" borderId="24">
      <alignment horizontal="left" indent="1"/>
    </xf>
    <xf numFmtId="0" fontId="28" fillId="26" borderId="24"/>
    <xf numFmtId="0" fontId="25" fillId="26" borderId="24">
      <alignment horizontal="right" vertical="center"/>
    </xf>
    <xf numFmtId="0" fontId="25" fillId="26" borderId="24">
      <alignment horizontal="right" vertical="center"/>
    </xf>
    <xf numFmtId="0" fontId="29" fillId="28" borderId="24">
      <alignment horizontal="left" vertical="center"/>
    </xf>
    <xf numFmtId="0" fontId="29" fillId="28" borderId="24">
      <alignment horizontal="left" vertical="center"/>
    </xf>
    <xf numFmtId="0" fontId="30" fillId="28" borderId="24">
      <alignment horizontal="left" vertical="center"/>
    </xf>
    <xf numFmtId="0" fontId="30" fillId="28" borderId="24">
      <alignment horizontal="left" vertical="center"/>
    </xf>
    <xf numFmtId="0" fontId="31" fillId="26" borderId="24">
      <alignment horizontal="left" vertical="center" indent="1"/>
    </xf>
    <xf numFmtId="0" fontId="31" fillId="26" borderId="24">
      <alignment horizontal="left" vertical="center"/>
    </xf>
    <xf numFmtId="0" fontId="32" fillId="26" borderId="128"/>
    <xf numFmtId="0" fontId="27" fillId="29" borderId="24">
      <alignment horizontal="left" vertical="center" indent="1"/>
    </xf>
    <xf numFmtId="0" fontId="27" fillId="29" borderId="24">
      <alignment horizontal="left" vertical="center"/>
    </xf>
    <xf numFmtId="41" fontId="1"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171" fontId="26" fillId="0" borderId="0" applyFont="0" applyFill="0" applyBorder="0" applyAlignment="0" applyProtection="0"/>
    <xf numFmtId="43" fontId="13" fillId="0" borderId="0" applyFont="0" applyFill="0" applyBorder="0" applyAlignment="0" applyProtection="0"/>
    <xf numFmtId="171" fontId="13" fillId="0" borderId="0" applyFont="0" applyFill="0" applyBorder="0" applyAlignment="0" applyProtection="0"/>
    <xf numFmtId="43" fontId="26" fillId="0" borderId="0" applyFont="0" applyFill="0" applyBorder="0" applyAlignment="0" applyProtection="0"/>
    <xf numFmtId="43" fontId="13" fillId="0" borderId="0" applyFont="0" applyFill="0" applyBorder="0" applyAlignment="0" applyProtection="0"/>
    <xf numFmtId="43" fontId="13" fillId="0" borderId="0" applyFont="0" applyFill="0" applyBorder="0" applyAlignment="0" applyProtection="0"/>
    <xf numFmtId="43" fontId="13" fillId="0" borderId="0" applyFont="0" applyFill="0" applyBorder="0" applyAlignment="0" applyProtection="0"/>
    <xf numFmtId="171" fontId="13" fillId="0" borderId="0" applyFont="0" applyFill="0" applyBorder="0" applyAlignment="0" applyProtection="0"/>
    <xf numFmtId="43" fontId="26" fillId="0" borderId="0" applyFont="0" applyFill="0" applyBorder="0" applyAlignment="0" applyProtection="0"/>
    <xf numFmtId="43" fontId="18" fillId="0" borderId="0" applyFont="0" applyFill="0" applyBorder="0" applyAlignment="0" applyProtection="0"/>
    <xf numFmtId="43" fontId="26" fillId="0" borderId="0" applyFont="0" applyFill="0" applyBorder="0" applyAlignment="0" applyProtection="0"/>
    <xf numFmtId="43" fontId="13" fillId="0" borderId="0" applyFont="0" applyFill="0" applyBorder="0" applyAlignment="0" applyProtection="0"/>
    <xf numFmtId="171" fontId="13" fillId="0" borderId="0" applyFont="0" applyFill="0" applyBorder="0" applyAlignment="0" applyProtection="0"/>
    <xf numFmtId="43" fontId="13" fillId="0" borderId="0" applyFont="0" applyFill="0" applyBorder="0" applyAlignment="0" applyProtection="0"/>
    <xf numFmtId="0" fontId="26" fillId="30" borderId="131" applyNumberFormat="0" applyFont="0" applyAlignment="0" applyProtection="0"/>
    <xf numFmtId="0" fontId="26" fillId="30" borderId="131" applyNumberFormat="0" applyFont="0" applyAlignment="0" applyProtection="0"/>
    <xf numFmtId="0" fontId="26" fillId="30" borderId="131" applyNumberFormat="0" applyFont="0" applyAlignment="0" applyProtection="0"/>
    <xf numFmtId="168" fontId="13" fillId="0" borderId="0" applyFont="0" applyFill="0" applyBorder="0" applyAlignment="0" applyProtection="0"/>
    <xf numFmtId="172" fontId="26" fillId="0" borderId="0" applyFont="0" applyFill="0" applyBorder="0" applyAlignment="0" applyProtection="0"/>
    <xf numFmtId="0" fontId="33" fillId="31" borderId="0" applyNumberFormat="0" applyBorder="0" applyAlignment="0" applyProtection="0"/>
    <xf numFmtId="0" fontId="33" fillId="32" borderId="0" applyNumberFormat="0" applyBorder="0" applyAlignment="0" applyProtection="0"/>
    <xf numFmtId="0" fontId="33" fillId="32" borderId="0" applyNumberFormat="0" applyBorder="0" applyAlignment="0" applyProtection="0"/>
    <xf numFmtId="0" fontId="34" fillId="10" borderId="125" applyNumberFormat="0" applyAlignment="0" applyProtection="0"/>
    <xf numFmtId="0" fontId="34" fillId="10" borderId="125" applyNumberFormat="0" applyAlignment="0" applyProtection="0"/>
    <xf numFmtId="0" fontId="34" fillId="10" borderId="125" applyNumberFormat="0" applyAlignment="0" applyProtection="0"/>
    <xf numFmtId="173" fontId="26" fillId="0" borderId="0" applyFont="0" applyFill="0" applyBorder="0" applyAlignment="0" applyProtection="0"/>
    <xf numFmtId="173" fontId="26" fillId="0" borderId="0" applyFont="0" applyFill="0" applyBorder="0" applyAlignment="0" applyProtection="0"/>
    <xf numFmtId="173" fontId="26" fillId="0" borderId="0" applyFont="0" applyFill="0" applyBorder="0" applyAlignment="0" applyProtection="0"/>
    <xf numFmtId="173" fontId="26" fillId="0" borderId="0" applyFont="0" applyFill="0" applyBorder="0" applyAlignment="0" applyProtection="0"/>
    <xf numFmtId="0" fontId="35" fillId="0" borderId="0" applyNumberFormat="0" applyFill="0" applyBorder="0" applyAlignment="0" applyProtection="0"/>
    <xf numFmtId="0" fontId="36" fillId="7" borderId="0" applyNumberFormat="0" applyBorder="0" applyAlignment="0" applyProtection="0"/>
    <xf numFmtId="0" fontId="37" fillId="0" borderId="132" applyNumberFormat="0" applyFill="0" applyAlignment="0" applyProtection="0"/>
    <xf numFmtId="0" fontId="38" fillId="0" borderId="133" applyNumberFormat="0" applyFill="0" applyAlignment="0" applyProtection="0"/>
    <xf numFmtId="0" fontId="39" fillId="0" borderId="134" applyNumberFormat="0" applyFill="0" applyAlignment="0" applyProtection="0"/>
    <xf numFmtId="0" fontId="39" fillId="0" borderId="0" applyNumberFormat="0" applyFill="0" applyBorder="0" applyAlignment="0" applyProtection="0"/>
    <xf numFmtId="0" fontId="40" fillId="0" borderId="0" applyNumberFormat="0" applyFill="0" applyBorder="0" applyAlignment="0" applyProtection="0">
      <alignment vertical="top"/>
      <protection locked="0"/>
    </xf>
    <xf numFmtId="0" fontId="41" fillId="0" borderId="0" applyNumberFormat="0" applyFill="0" applyBorder="0" applyAlignment="0" applyProtection="0"/>
    <xf numFmtId="0" fontId="34" fillId="10" borderId="125" applyNumberFormat="0" applyAlignment="0" applyProtection="0"/>
    <xf numFmtId="0" fontId="34" fillId="10" borderId="125" applyNumberFormat="0" applyAlignment="0" applyProtection="0"/>
    <xf numFmtId="0" fontId="34" fillId="10" borderId="125" applyNumberFormat="0" applyAlignment="0" applyProtection="0"/>
    <xf numFmtId="0" fontId="34" fillId="10" borderId="125" applyNumberFormat="0" applyAlignment="0" applyProtection="0"/>
    <xf numFmtId="0" fontId="34" fillId="10" borderId="125" applyNumberFormat="0" applyAlignment="0" applyProtection="0"/>
    <xf numFmtId="0" fontId="34" fillId="10" borderId="125" applyNumberFormat="0" applyAlignment="0" applyProtection="0"/>
    <xf numFmtId="0" fontId="34" fillId="10" borderId="125" applyNumberFormat="0" applyAlignment="0" applyProtection="0"/>
    <xf numFmtId="0" fontId="34" fillId="10" borderId="125" applyNumberFormat="0" applyAlignment="0" applyProtection="0"/>
    <xf numFmtId="0" fontId="42" fillId="6" borderId="0" applyNumberFormat="0" applyBorder="0" applyAlignment="0" applyProtection="0"/>
    <xf numFmtId="0" fontId="43" fillId="0" borderId="0" applyNumberFormat="0" applyFill="0" applyBorder="0" applyAlignment="0" applyProtection="0">
      <alignment vertical="top"/>
      <protection locked="0"/>
    </xf>
    <xf numFmtId="0" fontId="22" fillId="0" borderId="126" applyNumberFormat="0" applyFill="0" applyAlignment="0" applyProtection="0"/>
    <xf numFmtId="41" fontId="26" fillId="0" borderId="0" applyFont="0" applyFill="0" applyBorder="0" applyAlignment="0" applyProtection="0"/>
    <xf numFmtId="174" fontId="26" fillId="0" borderId="0" applyFont="0" applyFill="0" applyBorder="0" applyAlignment="0" applyProtection="0"/>
    <xf numFmtId="171" fontId="13" fillId="0" borderId="0" applyFont="0" applyFill="0" applyBorder="0" applyAlignment="0" applyProtection="0"/>
    <xf numFmtId="0" fontId="44" fillId="33" borderId="0" applyNumberFormat="0" applyBorder="0" applyAlignment="0" applyProtection="0"/>
    <xf numFmtId="0" fontId="44" fillId="33" borderId="0" applyNumberFormat="0" applyBorder="0" applyAlignment="0" applyProtection="0"/>
    <xf numFmtId="0" fontId="45" fillId="0" borderId="0"/>
    <xf numFmtId="0" fontId="13" fillId="0" borderId="0"/>
    <xf numFmtId="0" fontId="26" fillId="0" borderId="0"/>
    <xf numFmtId="0" fontId="26" fillId="0" borderId="0"/>
    <xf numFmtId="0" fontId="46" fillId="0" borderId="0"/>
    <xf numFmtId="0" fontId="45" fillId="0" borderId="0"/>
    <xf numFmtId="0" fontId="2" fillId="0" borderId="0"/>
    <xf numFmtId="0" fontId="45" fillId="0" borderId="0"/>
    <xf numFmtId="0" fontId="45" fillId="0" borderId="0"/>
    <xf numFmtId="0" fontId="45" fillId="0" borderId="0"/>
    <xf numFmtId="0" fontId="2" fillId="0" borderId="0"/>
    <xf numFmtId="0" fontId="45" fillId="0" borderId="0"/>
    <xf numFmtId="0" fontId="26" fillId="0" borderId="0"/>
    <xf numFmtId="0" fontId="26" fillId="0" borderId="0"/>
    <xf numFmtId="0" fontId="45" fillId="0" borderId="0"/>
    <xf numFmtId="0" fontId="26" fillId="0" borderId="0"/>
    <xf numFmtId="0" fontId="26" fillId="0" borderId="0"/>
    <xf numFmtId="0" fontId="45" fillId="0" borderId="0"/>
    <xf numFmtId="0" fontId="13" fillId="0" borderId="0"/>
    <xf numFmtId="0" fontId="13" fillId="0" borderId="0"/>
    <xf numFmtId="0" fontId="18" fillId="0" borderId="0"/>
    <xf numFmtId="0" fontId="13" fillId="0" borderId="0"/>
    <xf numFmtId="0" fontId="26" fillId="0" borderId="0"/>
    <xf numFmtId="0" fontId="26" fillId="0" borderId="0"/>
    <xf numFmtId="0" fontId="26" fillId="0" borderId="0"/>
    <xf numFmtId="0" fontId="13" fillId="0" borderId="0"/>
    <xf numFmtId="0" fontId="13" fillId="0" borderId="0"/>
    <xf numFmtId="0" fontId="26" fillId="0" borderId="0"/>
    <xf numFmtId="0" fontId="26" fillId="0" borderId="0"/>
    <xf numFmtId="0" fontId="26" fillId="0" borderId="0"/>
    <xf numFmtId="0" fontId="26" fillId="0" borderId="0"/>
    <xf numFmtId="0" fontId="26" fillId="0" borderId="0"/>
    <xf numFmtId="0" fontId="26" fillId="0" borderId="0"/>
    <xf numFmtId="0" fontId="1" fillId="0" borderId="0"/>
    <xf numFmtId="0" fontId="2" fillId="0" borderId="0"/>
    <xf numFmtId="0" fontId="26" fillId="0" borderId="0"/>
    <xf numFmtId="0" fontId="13" fillId="0" borderId="0"/>
    <xf numFmtId="0" fontId="13" fillId="0" borderId="0"/>
    <xf numFmtId="0" fontId="13" fillId="0" borderId="0"/>
    <xf numFmtId="0" fontId="18" fillId="0" borderId="0"/>
    <xf numFmtId="0" fontId="13" fillId="0" borderId="0"/>
    <xf numFmtId="0" fontId="26" fillId="0" borderId="0"/>
    <xf numFmtId="0" fontId="26" fillId="30" borderId="131" applyNumberFormat="0" applyFont="0" applyAlignment="0" applyProtection="0"/>
    <xf numFmtId="0" fontId="26" fillId="30" borderId="131" applyNumberFormat="0" applyFont="0" applyAlignment="0" applyProtection="0"/>
    <xf numFmtId="0" fontId="26" fillId="30" borderId="131" applyNumberFormat="0" applyFont="0" applyAlignment="0" applyProtection="0"/>
    <xf numFmtId="0" fontId="26" fillId="30" borderId="131" applyNumberFormat="0" applyFont="0" applyAlignment="0" applyProtection="0"/>
    <xf numFmtId="0" fontId="47" fillId="23" borderId="135" applyNumberFormat="0" applyAlignment="0" applyProtection="0"/>
    <xf numFmtId="0" fontId="47" fillId="23" borderId="135" applyNumberFormat="0" applyAlignment="0" applyProtection="0"/>
    <xf numFmtId="0" fontId="47" fillId="23" borderId="135" applyNumberFormat="0" applyAlignment="0" applyProtection="0"/>
    <xf numFmtId="0" fontId="47" fillId="23" borderId="135" applyNumberFormat="0" applyAlignment="0" applyProtection="0"/>
    <xf numFmtId="0" fontId="47" fillId="23" borderId="135" applyNumberFormat="0" applyAlignment="0" applyProtection="0"/>
    <xf numFmtId="0" fontId="47" fillId="23" borderId="135" applyNumberFormat="0" applyAlignment="0" applyProtection="0"/>
    <xf numFmtId="0" fontId="47" fillId="23" borderId="135" applyNumberFormat="0" applyAlignment="0" applyProtection="0"/>
    <xf numFmtId="0" fontId="47" fillId="23" borderId="135" applyNumberFormat="0" applyAlignment="0" applyProtection="0"/>
    <xf numFmtId="9" fontId="26" fillId="0" borderId="0" applyFont="0" applyFill="0" applyBorder="0" applyAlignment="0" applyProtection="0"/>
    <xf numFmtId="9" fontId="26" fillId="0" borderId="0" applyFont="0" applyFill="0" applyBorder="0" applyAlignment="0" applyProtection="0"/>
    <xf numFmtId="9" fontId="13" fillId="0" borderId="0" applyFont="0" applyFill="0" applyBorder="0" applyAlignment="0" applyProtection="0"/>
    <xf numFmtId="9" fontId="26" fillId="0" borderId="0" applyFont="0" applyFill="0" applyBorder="0" applyAlignment="0" applyProtection="0"/>
    <xf numFmtId="9" fontId="26" fillId="0" borderId="0" applyFont="0" applyFill="0" applyBorder="0" applyAlignment="0" applyProtection="0"/>
    <xf numFmtId="9" fontId="26" fillId="0" borderId="0" applyFont="0" applyFill="0" applyBorder="0" applyAlignment="0" applyProtection="0"/>
    <xf numFmtId="9" fontId="18" fillId="0" borderId="0" applyFont="0" applyFill="0" applyBorder="0" applyAlignment="0" applyProtection="0"/>
    <xf numFmtId="9" fontId="26" fillId="0" borderId="0" applyFont="0" applyFill="0" applyBorder="0" applyAlignment="0" applyProtection="0"/>
    <xf numFmtId="9" fontId="2" fillId="0" borderId="0" applyFont="0" applyFill="0" applyBorder="0" applyAlignment="0" applyProtection="0"/>
    <xf numFmtId="9" fontId="26"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0" fontId="36" fillId="7" borderId="0" applyNumberFormat="0" applyBorder="0" applyAlignment="0" applyProtection="0"/>
    <xf numFmtId="0" fontId="48" fillId="0" borderId="0" applyNumberFormat="0" applyFill="0" applyBorder="0" applyAlignment="0" applyProtection="0"/>
    <xf numFmtId="0" fontId="47" fillId="23" borderId="135" applyNumberFormat="0" applyAlignment="0" applyProtection="0"/>
    <xf numFmtId="0" fontId="47" fillId="23" borderId="135" applyNumberFormat="0" applyAlignment="0" applyProtection="0"/>
    <xf numFmtId="0" fontId="47" fillId="23" borderId="135" applyNumberFormat="0" applyAlignment="0" applyProtection="0"/>
    <xf numFmtId="0" fontId="26" fillId="0" borderId="0"/>
    <xf numFmtId="0" fontId="45" fillId="0" borderId="0"/>
    <xf numFmtId="0" fontId="49" fillId="0" borderId="0"/>
    <xf numFmtId="0" fontId="35"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1" fillId="0" borderId="0">
      <alignment vertical="center"/>
    </xf>
    <xf numFmtId="0" fontId="52" fillId="0" borderId="0"/>
    <xf numFmtId="0" fontId="37" fillId="0" borderId="132" applyNumberFormat="0" applyFill="0" applyAlignment="0" applyProtection="0"/>
    <xf numFmtId="0" fontId="38" fillId="0" borderId="133" applyNumberFormat="0" applyFill="0" applyAlignment="0" applyProtection="0"/>
    <xf numFmtId="0" fontId="39" fillId="0" borderId="134" applyNumberFormat="0" applyFill="0" applyAlignment="0" applyProtection="0"/>
    <xf numFmtId="0" fontId="39" fillId="0" borderId="0" applyNumberFormat="0" applyFill="0" applyBorder="0" applyAlignment="0" applyProtection="0"/>
    <xf numFmtId="0" fontId="53" fillId="0" borderId="0" applyNumberFormat="0" applyFill="0" applyBorder="0" applyAlignment="0" applyProtection="0"/>
    <xf numFmtId="0" fontId="54" fillId="0" borderId="136" applyNumberFormat="0" applyFill="0" applyAlignment="0" applyProtection="0"/>
    <xf numFmtId="0" fontId="54" fillId="0" borderId="136" applyNumberFormat="0" applyFill="0" applyAlignment="0" applyProtection="0"/>
    <xf numFmtId="0" fontId="54" fillId="0" borderId="136" applyNumberFormat="0" applyFill="0" applyAlignment="0" applyProtection="0"/>
    <xf numFmtId="0" fontId="54" fillId="0" borderId="136" applyNumberFormat="0" applyFill="0" applyAlignment="0" applyProtection="0"/>
    <xf numFmtId="0" fontId="54" fillId="0" borderId="136" applyNumberFormat="0" applyFill="0" applyAlignment="0" applyProtection="0"/>
    <xf numFmtId="0" fontId="54" fillId="0" borderId="136" applyNumberFormat="0" applyFill="0" applyAlignment="0" applyProtection="0"/>
    <xf numFmtId="0" fontId="54" fillId="0" borderId="136" applyNumberFormat="0" applyFill="0" applyAlignment="0" applyProtection="0"/>
    <xf numFmtId="0" fontId="54" fillId="0" borderId="136" applyNumberFormat="0" applyFill="0" applyAlignment="0" applyProtection="0"/>
    <xf numFmtId="175" fontId="26" fillId="0" borderId="0" applyFont="0" applyFill="0" applyBorder="0" applyAlignment="0" applyProtection="0"/>
    <xf numFmtId="172" fontId="26" fillId="0" borderId="0" applyFont="0" applyFill="0" applyBorder="0" applyAlignment="0" applyProtection="0"/>
    <xf numFmtId="0" fontId="23" fillId="24" borderId="127" applyNumberFormat="0" applyAlignment="0" applyProtection="0"/>
    <xf numFmtId="0" fontId="20" fillId="0" borderId="0" applyNumberFormat="0" applyFill="0" applyBorder="0" applyAlignment="0" applyProtection="0"/>
    <xf numFmtId="169" fontId="13" fillId="0" borderId="0" applyFont="0" applyFill="0" applyBorder="0" applyAlignment="0" applyProtection="0"/>
    <xf numFmtId="166" fontId="13" fillId="0" borderId="0" applyFont="0" applyFill="0" applyBorder="0" applyAlignment="0" applyProtection="0"/>
    <xf numFmtId="166" fontId="13" fillId="0" borderId="0" applyFont="0" applyFill="0" applyBorder="0" applyAlignment="0" applyProtection="0"/>
    <xf numFmtId="0" fontId="45" fillId="0" borderId="0"/>
    <xf numFmtId="0" fontId="26" fillId="0" borderId="0" applyFont="0" applyFill="0" applyBorder="0" applyAlignment="0" applyProtection="0"/>
    <xf numFmtId="0" fontId="45" fillId="0" borderId="0"/>
    <xf numFmtId="0" fontId="26" fillId="0" borderId="0"/>
    <xf numFmtId="0" fontId="26" fillId="0" borderId="0"/>
    <xf numFmtId="169" fontId="13" fillId="0" borderId="0" applyFont="0" applyFill="0" applyBorder="0" applyAlignment="0" applyProtection="0"/>
    <xf numFmtId="167" fontId="13" fillId="0" borderId="0" applyFont="0" applyFill="0" applyBorder="0" applyAlignment="0" applyProtection="0"/>
    <xf numFmtId="166" fontId="13" fillId="0" borderId="0" applyFont="0" applyFill="0" applyBorder="0" applyAlignment="0" applyProtection="0"/>
    <xf numFmtId="167" fontId="13" fillId="0" borderId="0" applyFont="0" applyFill="0" applyBorder="0" applyAlignment="0" applyProtection="0"/>
  </cellStyleXfs>
  <cellXfs count="1003">
    <xf numFmtId="0" fontId="0" fillId="0" borderId="0" xfId="0"/>
    <xf numFmtId="41" fontId="0" fillId="0" borderId="0" xfId="1" applyFont="1"/>
    <xf numFmtId="41" fontId="0" fillId="0" borderId="0" xfId="0" applyNumberFormat="1"/>
    <xf numFmtId="165" fontId="0" fillId="0" borderId="0" xfId="0" applyNumberFormat="1"/>
    <xf numFmtId="0" fontId="0" fillId="0" borderId="0" xfId="0" applyBorder="1"/>
    <xf numFmtId="164" fontId="2" fillId="0" borderId="0" xfId="3" applyNumberFormat="1" applyFont="1" applyBorder="1" applyAlignment="1">
      <alignment horizontal="center" vertical="center"/>
    </xf>
    <xf numFmtId="0" fontId="0" fillId="0" borderId="2" xfId="0" applyBorder="1"/>
    <xf numFmtId="0" fontId="0" fillId="0" borderId="3" xfId="0" applyBorder="1"/>
    <xf numFmtId="0" fontId="0" fillId="0" borderId="4" xfId="0" applyBorder="1"/>
    <xf numFmtId="0" fontId="0" fillId="0" borderId="5" xfId="0" applyBorder="1"/>
    <xf numFmtId="164" fontId="2" fillId="0" borderId="5" xfId="3" applyNumberFormat="1" applyFont="1" applyBorder="1" applyAlignment="1">
      <alignment horizontal="center" vertical="center"/>
    </xf>
    <xf numFmtId="164" fontId="2" fillId="0" borderId="7" xfId="3" applyNumberFormat="1" applyFont="1" applyBorder="1" applyAlignment="1">
      <alignment horizontal="center" vertical="center"/>
    </xf>
    <xf numFmtId="164" fontId="2" fillId="0" borderId="8" xfId="3" applyNumberFormat="1" applyFont="1" applyBorder="1" applyAlignment="1">
      <alignment horizontal="center" vertical="center"/>
    </xf>
    <xf numFmtId="0" fontId="2" fillId="0" borderId="12" xfId="0" applyFont="1" applyFill="1" applyBorder="1" applyAlignment="1">
      <alignment horizontal="left" vertical="center"/>
    </xf>
    <xf numFmtId="164" fontId="6" fillId="0" borderId="0" xfId="3" applyNumberFormat="1" applyFont="1" applyBorder="1" applyAlignment="1">
      <alignment horizontal="center" vertical="center"/>
    </xf>
    <xf numFmtId="0" fontId="5" fillId="0" borderId="1" xfId="0" applyFont="1" applyBorder="1"/>
    <xf numFmtId="0" fontId="10" fillId="0" borderId="0" xfId="0" applyFont="1"/>
    <xf numFmtId="0" fontId="12" fillId="0" borderId="28" xfId="0" applyFont="1" applyFill="1" applyBorder="1"/>
    <xf numFmtId="0" fontId="12" fillId="0" borderId="29" xfId="0" applyFont="1" applyFill="1" applyBorder="1"/>
    <xf numFmtId="0" fontId="6" fillId="0" borderId="1" xfId="0" applyFont="1" applyFill="1" applyBorder="1" applyAlignment="1">
      <alignment horizontal="center" vertical="center"/>
    </xf>
    <xf numFmtId="0" fontId="6" fillId="0" borderId="30" xfId="0" applyFont="1" applyFill="1" applyBorder="1" applyAlignment="1">
      <alignment horizontal="center" vertical="center"/>
    </xf>
    <xf numFmtId="0" fontId="6" fillId="0" borderId="15"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31" xfId="0" applyFont="1" applyFill="1" applyBorder="1" applyAlignment="1">
      <alignment vertical="center"/>
    </xf>
    <xf numFmtId="0" fontId="6" fillId="0" borderId="32" xfId="0" applyFont="1" applyFill="1" applyBorder="1" applyAlignment="1">
      <alignment horizontal="center" vertical="center"/>
    </xf>
    <xf numFmtId="0" fontId="6" fillId="0" borderId="24" xfId="5" applyFont="1" applyFill="1" applyBorder="1" applyAlignment="1">
      <alignment horizontal="center" vertical="center"/>
    </xf>
    <xf numFmtId="0" fontId="6" fillId="0" borderId="16" xfId="5" applyFont="1" applyFill="1" applyBorder="1" applyAlignment="1">
      <alignment horizontal="center" vertical="center"/>
    </xf>
    <xf numFmtId="0" fontId="6" fillId="0" borderId="0" xfId="5" applyFont="1" applyFill="1" applyBorder="1" applyAlignment="1">
      <alignment horizontal="center" vertical="center"/>
    </xf>
    <xf numFmtId="0" fontId="6" fillId="0" borderId="33" xfId="0" applyFont="1" applyFill="1" applyBorder="1" applyAlignment="1">
      <alignment vertical="center"/>
    </xf>
    <xf numFmtId="0" fontId="6" fillId="0" borderId="24" xfId="0" applyFont="1" applyFill="1" applyBorder="1" applyAlignment="1">
      <alignment vertical="center"/>
    </xf>
    <xf numFmtId="41" fontId="6" fillId="0" borderId="24" xfId="1" applyFont="1" applyFill="1" applyBorder="1" applyAlignment="1">
      <alignment vertical="center"/>
    </xf>
    <xf numFmtId="41" fontId="2" fillId="0" borderId="24" xfId="1" applyFont="1" applyFill="1" applyBorder="1" applyAlignment="1">
      <alignment horizontal="center" vertical="center"/>
    </xf>
    <xf numFmtId="41" fontId="6" fillId="0" borderId="24" xfId="1" applyFont="1" applyFill="1" applyBorder="1" applyAlignment="1">
      <alignment horizontal="center" vertical="center"/>
    </xf>
    <xf numFmtId="41" fontId="6" fillId="0" borderId="16" xfId="1" applyFont="1" applyFill="1" applyBorder="1" applyAlignment="1">
      <alignment horizontal="center" vertical="center"/>
    </xf>
    <xf numFmtId="41" fontId="6" fillId="0" borderId="0" xfId="1" applyFont="1" applyFill="1" applyBorder="1" applyAlignment="1">
      <alignment horizontal="center" vertical="center"/>
    </xf>
    <xf numFmtId="0" fontId="2" fillId="0" borderId="24" xfId="0" applyFont="1" applyFill="1" applyBorder="1" applyAlignment="1">
      <alignment horizontal="center" vertical="center"/>
    </xf>
    <xf numFmtId="164" fontId="2" fillId="0" borderId="24" xfId="3" applyNumberFormat="1" applyFont="1" applyBorder="1" applyAlignment="1">
      <alignment horizontal="center" vertical="center"/>
    </xf>
    <xf numFmtId="164" fontId="2" fillId="0" borderId="16" xfId="3" applyNumberFormat="1" applyFont="1" applyBorder="1" applyAlignment="1">
      <alignment horizontal="center" vertical="center"/>
    </xf>
    <xf numFmtId="0" fontId="2" fillId="0" borderId="31" xfId="0" applyFont="1" applyFill="1" applyBorder="1" applyAlignment="1">
      <alignment vertical="center"/>
    </xf>
    <xf numFmtId="0" fontId="2" fillId="0" borderId="34" xfId="0" applyFont="1" applyFill="1" applyBorder="1" applyAlignment="1">
      <alignment vertical="center"/>
    </xf>
    <xf numFmtId="0" fontId="2" fillId="0" borderId="35" xfId="0" applyFont="1" applyFill="1" applyBorder="1" applyAlignment="1">
      <alignment horizontal="center" vertical="center"/>
    </xf>
    <xf numFmtId="0" fontId="6" fillId="0" borderId="34" xfId="0" applyFont="1" applyFill="1" applyBorder="1" applyAlignment="1">
      <alignment horizontal="left" vertical="center"/>
    </xf>
    <xf numFmtId="0" fontId="6" fillId="0" borderId="35" xfId="0" applyFont="1" applyFill="1" applyBorder="1" applyAlignment="1">
      <alignment horizontal="center" vertical="center"/>
    </xf>
    <xf numFmtId="0" fontId="6" fillId="0" borderId="36" xfId="0" applyFont="1" applyFill="1" applyBorder="1" applyAlignment="1">
      <alignment horizontal="left" vertical="center"/>
    </xf>
    <xf numFmtId="0" fontId="6" fillId="0" borderId="37" xfId="0" applyFont="1" applyFill="1" applyBorder="1" applyAlignment="1">
      <alignment horizontal="center" vertical="center"/>
    </xf>
    <xf numFmtId="164" fontId="6" fillId="0" borderId="24" xfId="3" applyNumberFormat="1" applyFont="1" applyBorder="1" applyAlignment="1">
      <alignment horizontal="center" vertical="center"/>
    </xf>
    <xf numFmtId="164" fontId="6" fillId="0" borderId="16" xfId="3" applyNumberFormat="1" applyFont="1" applyBorder="1" applyAlignment="1">
      <alignment horizontal="center" vertical="center"/>
    </xf>
    <xf numFmtId="0" fontId="14" fillId="0" borderId="28" xfId="0" applyFont="1" applyFill="1" applyBorder="1"/>
    <xf numFmtId="0" fontId="14" fillId="0" borderId="29" xfId="0" applyFont="1" applyFill="1" applyBorder="1"/>
    <xf numFmtId="0" fontId="6" fillId="0" borderId="38" xfId="0" applyFont="1" applyFill="1" applyBorder="1" applyAlignment="1">
      <alignment horizontal="left" vertical="center"/>
    </xf>
    <xf numFmtId="0" fontId="6" fillId="0" borderId="39" xfId="0" applyFont="1" applyFill="1" applyBorder="1" applyAlignment="1">
      <alignment horizontal="center" vertical="center"/>
    </xf>
    <xf numFmtId="0" fontId="2" fillId="0" borderId="34" xfId="0" applyFont="1" applyFill="1" applyBorder="1" applyAlignment="1">
      <alignment horizontal="left" vertical="center"/>
    </xf>
    <xf numFmtId="0" fontId="6" fillId="0" borderId="36" xfId="0" applyFont="1" applyFill="1" applyBorder="1" applyAlignment="1">
      <alignment vertical="center"/>
    </xf>
    <xf numFmtId="0" fontId="6" fillId="0" borderId="31" xfId="0" applyFont="1" applyFill="1" applyBorder="1" applyAlignment="1">
      <alignment horizontal="left" vertical="center"/>
    </xf>
    <xf numFmtId="0" fontId="6" fillId="0" borderId="24" xfId="0" applyFont="1" applyFill="1" applyBorder="1" applyAlignment="1">
      <alignment horizontal="center" vertical="center"/>
    </xf>
    <xf numFmtId="0" fontId="6" fillId="0" borderId="40" xfId="0" applyFont="1" applyFill="1" applyBorder="1" applyAlignment="1">
      <alignment horizontal="left" vertical="center"/>
    </xf>
    <xf numFmtId="0" fontId="6" fillId="0" borderId="41" xfId="0" applyFont="1" applyFill="1" applyBorder="1" applyAlignment="1">
      <alignment horizontal="center" vertical="center"/>
    </xf>
    <xf numFmtId="0" fontId="15" fillId="0" borderId="31" xfId="0" applyFont="1" applyBorder="1"/>
    <xf numFmtId="0" fontId="10" fillId="0" borderId="31" xfId="0" applyFont="1" applyBorder="1"/>
    <xf numFmtId="0" fontId="6" fillId="0" borderId="31" xfId="0" applyFont="1" applyBorder="1"/>
    <xf numFmtId="0" fontId="6" fillId="0" borderId="42" xfId="0" applyFont="1" applyBorder="1"/>
    <xf numFmtId="0" fontId="6" fillId="0" borderId="43" xfId="0" applyFont="1" applyFill="1" applyBorder="1" applyAlignment="1">
      <alignment horizontal="center" vertical="center"/>
    </xf>
    <xf numFmtId="164" fontId="6" fillId="0" borderId="43" xfId="3" applyNumberFormat="1" applyFont="1" applyBorder="1" applyAlignment="1">
      <alignment horizontal="center" vertical="center"/>
    </xf>
    <xf numFmtId="164" fontId="6" fillId="0" borderId="44" xfId="3" applyNumberFormat="1" applyFont="1" applyBorder="1" applyAlignment="1">
      <alignment horizontal="center" vertical="center"/>
    </xf>
    <xf numFmtId="0" fontId="6" fillId="0" borderId="4" xfId="0" applyFont="1" applyFill="1" applyBorder="1" applyAlignment="1">
      <alignment horizontal="left" vertical="center"/>
    </xf>
    <xf numFmtId="168" fontId="2" fillId="0" borderId="45" xfId="0" applyNumberFormat="1" applyFont="1" applyFill="1" applyBorder="1" applyAlignment="1">
      <alignment vertical="center"/>
    </xf>
    <xf numFmtId="0" fontId="2" fillId="0" borderId="45" xfId="0" applyFont="1" applyFill="1" applyBorder="1" applyAlignment="1">
      <alignment vertical="center"/>
    </xf>
    <xf numFmtId="4" fontId="6" fillId="0" borderId="45" xfId="0" applyNumberFormat="1" applyFont="1" applyFill="1" applyBorder="1" applyAlignment="1">
      <alignment horizontal="center" vertical="center"/>
    </xf>
    <xf numFmtId="4" fontId="6" fillId="0" borderId="46" xfId="0" applyNumberFormat="1" applyFont="1" applyFill="1" applyBorder="1" applyAlignment="1">
      <alignment horizontal="center" vertical="center"/>
    </xf>
    <xf numFmtId="4" fontId="6" fillId="0" borderId="0" xfId="0" applyNumberFormat="1" applyFont="1" applyFill="1" applyBorder="1" applyAlignment="1">
      <alignment horizontal="center" vertical="center"/>
    </xf>
    <xf numFmtId="168" fontId="2" fillId="0" borderId="28" xfId="0" applyNumberFormat="1" applyFont="1" applyFill="1" applyBorder="1" applyAlignment="1">
      <alignment vertical="center"/>
    </xf>
    <xf numFmtId="168" fontId="2" fillId="0" borderId="29" xfId="0" applyNumberFormat="1" applyFont="1" applyFill="1" applyBorder="1" applyAlignment="1">
      <alignment vertical="center"/>
    </xf>
    <xf numFmtId="0" fontId="2" fillId="0" borderId="29" xfId="0" applyFont="1" applyFill="1" applyBorder="1" applyAlignment="1">
      <alignment vertical="center"/>
    </xf>
    <xf numFmtId="0" fontId="2" fillId="0" borderId="46" xfId="0" applyFont="1" applyFill="1" applyBorder="1" applyAlignment="1">
      <alignment vertical="center"/>
    </xf>
    <xf numFmtId="0" fontId="2" fillId="0" borderId="0" xfId="0" applyFont="1" applyFill="1" applyBorder="1" applyAlignment="1">
      <alignment vertical="center"/>
    </xf>
    <xf numFmtId="9" fontId="6" fillId="0" borderId="16" xfId="6" applyFont="1" applyFill="1" applyBorder="1" applyAlignment="1">
      <alignment horizontal="center" vertical="center"/>
    </xf>
    <xf numFmtId="0" fontId="2" fillId="0" borderId="47" xfId="0" applyFont="1" applyFill="1" applyBorder="1" applyAlignment="1">
      <alignment vertical="center"/>
    </xf>
    <xf numFmtId="0" fontId="2" fillId="0" borderId="28" xfId="0" applyFont="1" applyFill="1" applyBorder="1" applyAlignment="1">
      <alignment vertical="center"/>
    </xf>
    <xf numFmtId="0" fontId="2" fillId="0" borderId="31" xfId="0" applyFont="1" applyFill="1" applyBorder="1" applyAlignment="1">
      <alignment horizontal="left" vertical="center"/>
    </xf>
    <xf numFmtId="164" fontId="6" fillId="0" borderId="16" xfId="3" applyNumberFormat="1" applyFont="1" applyBorder="1" applyAlignment="1">
      <alignment horizontal="right" vertical="center"/>
    </xf>
    <xf numFmtId="0" fontId="16" fillId="0" borderId="48" xfId="0" quotePrefix="1" applyFont="1" applyFill="1" applyBorder="1" applyAlignment="1">
      <alignment vertical="center"/>
    </xf>
    <xf numFmtId="9" fontId="6" fillId="0" borderId="16" xfId="6" applyFont="1" applyFill="1" applyBorder="1" applyAlignment="1">
      <alignment horizontal="right" vertical="center"/>
    </xf>
    <xf numFmtId="0" fontId="16" fillId="0" borderId="49" xfId="0" quotePrefix="1" applyFont="1" applyFill="1" applyBorder="1" applyAlignment="1">
      <alignment vertical="center"/>
    </xf>
    <xf numFmtId="0" fontId="2" fillId="0" borderId="42" xfId="0" applyFont="1" applyFill="1" applyBorder="1" applyAlignment="1">
      <alignment horizontal="left" vertical="center"/>
    </xf>
    <xf numFmtId="165" fontId="6" fillId="0" borderId="44" xfId="1" applyNumberFormat="1" applyFont="1" applyFill="1" applyBorder="1" applyAlignment="1">
      <alignment horizontal="center" vertical="center"/>
    </xf>
    <xf numFmtId="0" fontId="16" fillId="0" borderId="0" xfId="0" quotePrefix="1" applyFont="1" applyFill="1" applyBorder="1" applyAlignment="1">
      <alignment vertical="center"/>
    </xf>
    <xf numFmtId="164" fontId="16" fillId="0" borderId="0" xfId="0" quotePrefix="1" applyNumberFormat="1" applyFont="1" applyFill="1" applyBorder="1" applyAlignment="1">
      <alignment vertical="center"/>
    </xf>
    <xf numFmtId="0" fontId="12" fillId="0" borderId="50" xfId="0" applyFont="1" applyFill="1" applyBorder="1"/>
    <xf numFmtId="0" fontId="12" fillId="0" borderId="45" xfId="0" applyFont="1" applyFill="1" applyBorder="1"/>
    <xf numFmtId="164" fontId="12" fillId="0" borderId="29" xfId="0" applyNumberFormat="1" applyFont="1" applyFill="1" applyBorder="1"/>
    <xf numFmtId="0" fontId="12" fillId="0" borderId="47" xfId="0" applyFont="1" applyFill="1" applyBorder="1"/>
    <xf numFmtId="0" fontId="12" fillId="0" borderId="0" xfId="0" applyFont="1" applyFill="1" applyBorder="1"/>
    <xf numFmtId="169" fontId="2" fillId="0" borderId="29" xfId="0" applyNumberFormat="1" applyFont="1" applyFill="1" applyBorder="1" applyAlignment="1">
      <alignment vertical="center"/>
    </xf>
    <xf numFmtId="0" fontId="6" fillId="0" borderId="12" xfId="0" applyFont="1" applyFill="1" applyBorder="1" applyAlignment="1">
      <alignment horizontal="left" vertical="center"/>
    </xf>
    <xf numFmtId="9" fontId="6" fillId="0" borderId="23" xfId="6" applyFont="1" applyFill="1" applyBorder="1" applyAlignment="1">
      <alignment horizontal="center" vertical="center"/>
    </xf>
    <xf numFmtId="3" fontId="6" fillId="0" borderId="51" xfId="0" applyNumberFormat="1" applyFont="1" applyFill="1" applyBorder="1" applyAlignment="1">
      <alignment horizontal="center" vertical="center"/>
    </xf>
    <xf numFmtId="9" fontId="6" fillId="0" borderId="52" xfId="6" applyFont="1" applyFill="1" applyBorder="1" applyAlignment="1">
      <alignment horizontal="center" vertical="center"/>
    </xf>
    <xf numFmtId="9" fontId="6" fillId="0" borderId="53" xfId="6" applyFont="1" applyFill="1" applyBorder="1" applyAlignment="1">
      <alignment horizontal="center" vertical="center"/>
    </xf>
    <xf numFmtId="0" fontId="0" fillId="0" borderId="29" xfId="0" applyFill="1" applyBorder="1"/>
    <xf numFmtId="0" fontId="0" fillId="0" borderId="47" xfId="0" applyFill="1" applyBorder="1"/>
    <xf numFmtId="0" fontId="0" fillId="0" borderId="0" xfId="0" applyFill="1" applyBorder="1"/>
    <xf numFmtId="0" fontId="0" fillId="0" borderId="28" xfId="0" applyFill="1" applyBorder="1"/>
    <xf numFmtId="0" fontId="10" fillId="0" borderId="29" xfId="0" applyFont="1" applyFill="1" applyBorder="1"/>
    <xf numFmtId="0" fontId="10" fillId="0" borderId="29" xfId="0" applyFont="1" applyFill="1" applyBorder="1" applyAlignment="1">
      <alignment horizontal="right"/>
    </xf>
    <xf numFmtId="0" fontId="10" fillId="0" borderId="54" xfId="0" applyFont="1" applyFill="1" applyBorder="1"/>
    <xf numFmtId="0" fontId="10" fillId="0" borderId="55" xfId="0" applyFont="1" applyFill="1" applyBorder="1"/>
    <xf numFmtId="0" fontId="10" fillId="0" borderId="0" xfId="0" applyFont="1" applyFill="1" applyBorder="1"/>
    <xf numFmtId="0" fontId="10" fillId="0" borderId="28" xfId="0" applyFont="1" applyFill="1" applyBorder="1"/>
    <xf numFmtId="0" fontId="10" fillId="0" borderId="47" xfId="0" applyFont="1" applyFill="1" applyBorder="1" applyAlignment="1">
      <alignment horizontal="right"/>
    </xf>
    <xf numFmtId="0" fontId="9" fillId="0" borderId="56" xfId="0" applyFont="1" applyFill="1" applyBorder="1"/>
    <xf numFmtId="0" fontId="9" fillId="0" borderId="57" xfId="0" applyFont="1" applyFill="1" applyBorder="1"/>
    <xf numFmtId="0" fontId="9" fillId="0" borderId="58" xfId="0" applyFont="1" applyFill="1" applyBorder="1"/>
    <xf numFmtId="164" fontId="9" fillId="0" borderId="59" xfId="0" applyNumberFormat="1" applyFont="1" applyFill="1" applyBorder="1"/>
    <xf numFmtId="0" fontId="9" fillId="0" borderId="45" xfId="0" applyFont="1" applyFill="1" applyBorder="1"/>
    <xf numFmtId="0" fontId="9" fillId="0" borderId="60" xfId="0" applyFont="1" applyFill="1" applyBorder="1"/>
    <xf numFmtId="164" fontId="9" fillId="0" borderId="29" xfId="0" applyNumberFormat="1" applyFont="1" applyFill="1" applyBorder="1"/>
    <xf numFmtId="164" fontId="9" fillId="0" borderId="61" xfId="0" applyNumberFormat="1" applyFont="1" applyFill="1" applyBorder="1"/>
    <xf numFmtId="164" fontId="9" fillId="0" borderId="62" xfId="0" applyNumberFormat="1" applyFont="1" applyFill="1" applyBorder="1"/>
    <xf numFmtId="164" fontId="9" fillId="0" borderId="63" xfId="0" applyNumberFormat="1" applyFont="1" applyFill="1" applyBorder="1"/>
    <xf numFmtId="164" fontId="9" fillId="0" borderId="64" xfId="0" applyNumberFormat="1" applyFont="1" applyFill="1" applyBorder="1"/>
    <xf numFmtId="0" fontId="8" fillId="0" borderId="29" xfId="0" applyFont="1" applyFill="1" applyBorder="1" applyAlignment="1">
      <alignment horizontal="right"/>
    </xf>
    <xf numFmtId="0" fontId="8" fillId="0" borderId="47" xfId="0" applyFont="1" applyFill="1" applyBorder="1"/>
    <xf numFmtId="0" fontId="8" fillId="0" borderId="65" xfId="0" applyFont="1" applyFill="1" applyBorder="1"/>
    <xf numFmtId="0" fontId="8" fillId="0" borderId="66" xfId="0" applyFont="1" applyFill="1" applyBorder="1"/>
    <xf numFmtId="0" fontId="8" fillId="0" borderId="45" xfId="0" applyFont="1" applyFill="1" applyBorder="1"/>
    <xf numFmtId="0" fontId="8" fillId="0" borderId="46" xfId="0" applyFont="1" applyFill="1" applyBorder="1"/>
    <xf numFmtId="0" fontId="8" fillId="0" borderId="0" xfId="0" applyFont="1" applyFill="1" applyBorder="1"/>
    <xf numFmtId="0" fontId="8" fillId="0" borderId="28" xfId="0" applyFont="1" applyFill="1" applyBorder="1"/>
    <xf numFmtId="0" fontId="8" fillId="0" borderId="29" xfId="0" applyFont="1" applyFill="1" applyBorder="1"/>
    <xf numFmtId="0" fontId="8" fillId="0" borderId="47" xfId="0" applyFont="1" applyFill="1" applyBorder="1" applyAlignment="1">
      <alignment horizontal="right"/>
    </xf>
    <xf numFmtId="43" fontId="7" fillId="0" borderId="67" xfId="0" applyNumberFormat="1" applyFont="1" applyFill="1" applyBorder="1"/>
    <xf numFmtId="0" fontId="11" fillId="0" borderId="25" xfId="0" applyFont="1" applyFill="1" applyBorder="1" applyAlignment="1">
      <alignment vertical="center"/>
    </xf>
    <xf numFmtId="0" fontId="11" fillId="0" borderId="26" xfId="0" applyFont="1" applyFill="1" applyBorder="1" applyAlignment="1">
      <alignment vertical="center"/>
    </xf>
    <xf numFmtId="0" fontId="11" fillId="0" borderId="27" xfId="0" applyFont="1" applyFill="1" applyBorder="1" applyAlignment="1">
      <alignment vertical="center"/>
    </xf>
    <xf numFmtId="0" fontId="6" fillId="0" borderId="9" xfId="0" applyFont="1" applyFill="1" applyBorder="1" applyAlignment="1">
      <alignment vertical="center"/>
    </xf>
    <xf numFmtId="0" fontId="6" fillId="0" borderId="11" xfId="0" applyFont="1" applyFill="1" applyBorder="1" applyAlignment="1">
      <alignment vertical="center"/>
    </xf>
    <xf numFmtId="0" fontId="6" fillId="0" borderId="12" xfId="0" applyFont="1" applyFill="1" applyBorder="1" applyAlignment="1">
      <alignment vertical="center"/>
    </xf>
    <xf numFmtId="0" fontId="6" fillId="0" borderId="14" xfId="0" applyFont="1" applyFill="1" applyBorder="1" applyAlignment="1">
      <alignment vertical="center"/>
    </xf>
    <xf numFmtId="0" fontId="6" fillId="0" borderId="1" xfId="0" applyFont="1" applyFill="1" applyBorder="1" applyAlignment="1">
      <alignment vertical="center"/>
    </xf>
    <xf numFmtId="0" fontId="6" fillId="0" borderId="3" xfId="0" applyFont="1" applyFill="1" applyBorder="1" applyAlignment="1">
      <alignment vertical="center"/>
    </xf>
    <xf numFmtId="0" fontId="6" fillId="0" borderId="4" xfId="0" applyFont="1" applyFill="1" applyBorder="1" applyAlignment="1">
      <alignment vertical="center"/>
    </xf>
    <xf numFmtId="0" fontId="6" fillId="0" borderId="5" xfId="0" applyFont="1" applyFill="1" applyBorder="1" applyAlignment="1">
      <alignment vertical="center"/>
    </xf>
    <xf numFmtId="41" fontId="2" fillId="0" borderId="0" xfId="1" applyFont="1" applyFill="1" applyBorder="1" applyAlignment="1">
      <alignment horizontal="center" vertical="center"/>
    </xf>
    <xf numFmtId="0" fontId="10" fillId="0" borderId="0" xfId="0" applyFont="1" applyFill="1" applyBorder="1" applyAlignment="1">
      <alignment horizontal="right"/>
    </xf>
    <xf numFmtId="0" fontId="6" fillId="0" borderId="68" xfId="0" applyFont="1" applyFill="1" applyBorder="1" applyAlignment="1">
      <alignment horizontal="center" vertical="center"/>
    </xf>
    <xf numFmtId="164" fontId="2" fillId="0" borderId="43" xfId="3" applyNumberFormat="1" applyFont="1" applyBorder="1" applyAlignment="1">
      <alignment horizontal="center" vertical="center"/>
    </xf>
    <xf numFmtId="164" fontId="2" fillId="0" borderId="44" xfId="3" applyNumberFormat="1" applyFont="1" applyBorder="1" applyAlignment="1">
      <alignment horizontal="center" vertical="center"/>
    </xf>
    <xf numFmtId="3" fontId="6" fillId="0" borderId="16" xfId="0" applyNumberFormat="1" applyFont="1" applyFill="1" applyBorder="1" applyAlignment="1">
      <alignment horizontal="right" vertical="center"/>
    </xf>
    <xf numFmtId="167" fontId="6" fillId="0" borderId="44" xfId="1" applyNumberFormat="1" applyFont="1" applyFill="1" applyBorder="1" applyAlignment="1">
      <alignment horizontal="center" vertical="center"/>
    </xf>
    <xf numFmtId="43" fontId="7" fillId="0" borderId="69" xfId="0" applyNumberFormat="1" applyFont="1" applyFill="1" applyBorder="1"/>
    <xf numFmtId="0" fontId="10" fillId="0" borderId="47" xfId="0" applyFont="1" applyFill="1" applyBorder="1"/>
    <xf numFmtId="0" fontId="10" fillId="0" borderId="31" xfId="0" applyFont="1" applyBorder="1" applyAlignment="1">
      <alignment horizontal="left" vertical="center" wrapText="1"/>
    </xf>
    <xf numFmtId="0" fontId="2" fillId="0" borderId="38" xfId="0" applyFont="1" applyFill="1" applyBorder="1" applyAlignment="1">
      <alignment horizontal="left" vertical="center"/>
    </xf>
    <xf numFmtId="0" fontId="6" fillId="0" borderId="42" xfId="0" applyFont="1" applyFill="1" applyBorder="1" applyAlignment="1">
      <alignment vertical="center"/>
    </xf>
    <xf numFmtId="0" fontId="2" fillId="0" borderId="43" xfId="0" applyFont="1" applyFill="1" applyBorder="1" applyAlignment="1">
      <alignment horizontal="center" vertical="center"/>
    </xf>
    <xf numFmtId="0" fontId="2" fillId="0" borderId="70" xfId="0" applyFont="1" applyFill="1" applyBorder="1" applyAlignment="1">
      <alignment vertical="center"/>
    </xf>
    <xf numFmtId="0" fontId="2" fillId="0" borderId="71" xfId="0" applyFont="1" applyFill="1" applyBorder="1" applyAlignment="1">
      <alignment horizontal="center" vertical="center"/>
    </xf>
    <xf numFmtId="0" fontId="2" fillId="0" borderId="33" xfId="0" applyFont="1" applyFill="1" applyBorder="1" applyAlignment="1">
      <alignment vertical="center"/>
    </xf>
    <xf numFmtId="0" fontId="2" fillId="0" borderId="68" xfId="0" applyFont="1" applyFill="1" applyBorder="1" applyAlignment="1">
      <alignment horizontal="center" vertical="center"/>
    </xf>
    <xf numFmtId="164" fontId="2" fillId="0" borderId="35" xfId="3" applyNumberFormat="1" applyFont="1" applyBorder="1" applyAlignment="1">
      <alignment horizontal="center" vertical="center"/>
    </xf>
    <xf numFmtId="164" fontId="2" fillId="0" borderId="72" xfId="3" applyNumberFormat="1" applyFont="1" applyBorder="1" applyAlignment="1">
      <alignment horizontal="center" vertical="center"/>
    </xf>
    <xf numFmtId="0" fontId="10" fillId="0" borderId="31" xfId="5" applyFont="1" applyBorder="1" applyAlignment="1">
      <alignment horizontal="left" vertical="center" wrapText="1"/>
    </xf>
    <xf numFmtId="0" fontId="9" fillId="0" borderId="33" xfId="5" applyFont="1" applyBorder="1" applyAlignment="1">
      <alignment horizontal="left" vertical="center" wrapText="1"/>
    </xf>
    <xf numFmtId="0" fontId="6" fillId="0" borderId="73" xfId="0" applyFont="1" applyFill="1" applyBorder="1" applyAlignment="1">
      <alignment horizontal="left" vertical="center"/>
    </xf>
    <xf numFmtId="0" fontId="2" fillId="0" borderId="74" xfId="0" applyFont="1" applyFill="1" applyBorder="1" applyAlignment="1">
      <alignment horizontal="left" vertical="center"/>
    </xf>
    <xf numFmtId="0" fontId="2" fillId="0" borderId="12" xfId="0" applyFont="1" applyFill="1" applyBorder="1" applyAlignment="1">
      <alignment vertical="center"/>
    </xf>
    <xf numFmtId="0" fontId="2" fillId="0" borderId="74" xfId="0" applyFont="1" applyFill="1" applyBorder="1" applyAlignment="1">
      <alignment vertical="center"/>
    </xf>
    <xf numFmtId="0" fontId="2" fillId="0" borderId="20" xfId="0" applyFont="1" applyFill="1" applyBorder="1" applyAlignment="1">
      <alignment vertical="center"/>
    </xf>
    <xf numFmtId="0" fontId="6" fillId="0" borderId="6" xfId="0" applyFont="1" applyFill="1" applyBorder="1" applyAlignment="1">
      <alignment vertical="center"/>
    </xf>
    <xf numFmtId="0" fontId="6" fillId="0" borderId="71" xfId="0" applyFont="1" applyFill="1" applyBorder="1" applyAlignment="1">
      <alignment horizontal="center" vertical="center"/>
    </xf>
    <xf numFmtId="164" fontId="2" fillId="0" borderId="71" xfId="3" applyNumberFormat="1" applyFont="1" applyBorder="1" applyAlignment="1">
      <alignment horizontal="center" vertical="center"/>
    </xf>
    <xf numFmtId="164" fontId="2" fillId="0" borderId="17" xfId="3" applyNumberFormat="1" applyFont="1" applyBorder="1" applyAlignment="1">
      <alignment horizontal="center" vertical="center"/>
    </xf>
    <xf numFmtId="0" fontId="2" fillId="0" borderId="38" xfId="0" applyFont="1" applyFill="1" applyBorder="1" applyAlignment="1">
      <alignment vertical="center"/>
    </xf>
    <xf numFmtId="0" fontId="2" fillId="0" borderId="39" xfId="0" applyFont="1" applyFill="1" applyBorder="1" applyAlignment="1">
      <alignment horizontal="center" vertical="center"/>
    </xf>
    <xf numFmtId="164" fontId="2" fillId="0" borderId="68" xfId="3" applyNumberFormat="1" applyFont="1" applyBorder="1" applyAlignment="1">
      <alignment horizontal="center" vertical="center"/>
    </xf>
    <xf numFmtId="164" fontId="2" fillId="0" borderId="75" xfId="3" applyNumberFormat="1" applyFont="1" applyBorder="1" applyAlignment="1">
      <alignment horizontal="center" vertical="center"/>
    </xf>
    <xf numFmtId="0" fontId="6" fillId="0" borderId="42" xfId="0" applyFont="1" applyFill="1" applyBorder="1" applyAlignment="1">
      <alignment horizontal="left" vertical="center"/>
    </xf>
    <xf numFmtId="0" fontId="12" fillId="0" borderId="42" xfId="0" applyFont="1" applyFill="1" applyBorder="1"/>
    <xf numFmtId="166" fontId="6" fillId="0" borderId="44" xfId="1" applyNumberFormat="1" applyFont="1" applyFill="1" applyBorder="1" applyAlignment="1">
      <alignment horizontal="center" vertical="center"/>
    </xf>
    <xf numFmtId="0" fontId="0" fillId="0" borderId="45" xfId="0" applyFill="1" applyBorder="1"/>
    <xf numFmtId="0" fontId="17" fillId="0" borderId="1" xfId="5" applyFont="1" applyBorder="1" applyAlignment="1">
      <alignment vertical="center"/>
    </xf>
    <xf numFmtId="0" fontId="17" fillId="0" borderId="2" xfId="5" applyFont="1" applyBorder="1" applyAlignment="1">
      <alignment vertical="center"/>
    </xf>
    <xf numFmtId="0" fontId="17" fillId="0" borderId="3" xfId="5" applyFont="1" applyBorder="1" applyAlignment="1">
      <alignment vertical="center"/>
    </xf>
    <xf numFmtId="0" fontId="12" fillId="0" borderId="28" xfId="5" applyFont="1" applyBorder="1" applyAlignment="1">
      <alignment vertical="center"/>
    </xf>
    <xf numFmtId="0" fontId="12" fillId="0" borderId="29" xfId="5" applyFont="1" applyBorder="1" applyAlignment="1">
      <alignment vertical="center"/>
    </xf>
    <xf numFmtId="0" fontId="17" fillId="0" borderId="6" xfId="5" applyFont="1" applyBorder="1" applyAlignment="1">
      <alignment vertical="center"/>
    </xf>
    <xf numFmtId="0" fontId="17" fillId="0" borderId="7" xfId="5" applyFont="1" applyBorder="1" applyAlignment="1">
      <alignment vertical="center"/>
    </xf>
    <xf numFmtId="0" fontId="17" fillId="0" borderId="8" xfId="5" applyFont="1" applyBorder="1" applyAlignment="1">
      <alignment vertical="center"/>
    </xf>
    <xf numFmtId="0" fontId="6" fillId="0" borderId="78" xfId="5" applyFont="1" applyBorder="1" applyAlignment="1">
      <alignment vertical="center"/>
    </xf>
    <xf numFmtId="0" fontId="6" fillId="0" borderId="54" xfId="5" applyFont="1" applyBorder="1" applyAlignment="1">
      <alignment vertical="center"/>
    </xf>
    <xf numFmtId="0" fontId="6" fillId="0" borderId="54" xfId="5" applyFont="1" applyBorder="1" applyAlignment="1">
      <alignment horizontal="center" vertical="center"/>
    </xf>
    <xf numFmtId="41" fontId="6" fillId="0" borderId="54" xfId="7" applyFont="1" applyBorder="1" applyAlignment="1">
      <alignment vertical="center"/>
    </xf>
    <xf numFmtId="41" fontId="6" fillId="0" borderId="55" xfId="7" applyFont="1" applyBorder="1" applyAlignment="1">
      <alignment vertical="center"/>
    </xf>
    <xf numFmtId="41" fontId="6" fillId="0" borderId="79" xfId="7" applyFont="1" applyBorder="1" applyAlignment="1">
      <alignment vertical="center"/>
    </xf>
    <xf numFmtId="0" fontId="6" fillId="0" borderId="33" xfId="5" applyFont="1" applyBorder="1" applyAlignment="1">
      <alignment vertical="center"/>
    </xf>
    <xf numFmtId="3" fontId="6" fillId="0" borderId="24" xfId="5" applyNumberFormat="1" applyFont="1" applyBorder="1" applyAlignment="1">
      <alignment horizontal="center" vertical="center"/>
    </xf>
    <xf numFmtId="0" fontId="6" fillId="0" borderId="24" xfId="5" applyFont="1" applyBorder="1" applyAlignment="1">
      <alignment horizontal="center" vertical="center"/>
    </xf>
    <xf numFmtId="0" fontId="6" fillId="0" borderId="30" xfId="5" applyFont="1" applyBorder="1" applyAlignment="1">
      <alignment horizontal="center" vertical="center"/>
    </xf>
    <xf numFmtId="0" fontId="6" fillId="0" borderId="16" xfId="5" applyFont="1" applyBorder="1" applyAlignment="1">
      <alignment horizontal="center" vertical="center"/>
    </xf>
    <xf numFmtId="0" fontId="6" fillId="0" borderId="31" xfId="5" applyFont="1" applyBorder="1" applyAlignment="1">
      <alignment vertical="center"/>
    </xf>
    <xf numFmtId="4" fontId="6" fillId="0" borderId="24" xfId="5" applyNumberFormat="1" applyFont="1" applyBorder="1" applyAlignment="1">
      <alignment horizontal="center" vertical="center"/>
    </xf>
    <xf numFmtId="4" fontId="6" fillId="0" borderId="24" xfId="8" applyNumberFormat="1" applyFont="1" applyBorder="1" applyAlignment="1">
      <alignment horizontal="center" vertical="center"/>
    </xf>
    <xf numFmtId="4" fontId="6" fillId="0" borderId="18" xfId="8" applyNumberFormat="1" applyFont="1" applyBorder="1" applyAlignment="1">
      <alignment horizontal="center" vertical="center"/>
    </xf>
    <xf numFmtId="4" fontId="6" fillId="0" borderId="16" xfId="8" applyNumberFormat="1" applyFont="1" applyBorder="1" applyAlignment="1">
      <alignment horizontal="center" vertical="center"/>
    </xf>
    <xf numFmtId="0" fontId="2" fillId="0" borderId="31" xfId="5" applyFont="1" applyBorder="1" applyAlignment="1">
      <alignment vertical="center"/>
    </xf>
    <xf numFmtId="0" fontId="2" fillId="0" borderId="24" xfId="5" applyFont="1" applyBorder="1" applyAlignment="1">
      <alignment horizontal="center" vertical="center"/>
    </xf>
    <xf numFmtId="0" fontId="6" fillId="0" borderId="37" xfId="5" applyFont="1" applyBorder="1" applyAlignment="1">
      <alignment horizontal="center" vertical="center"/>
    </xf>
    <xf numFmtId="0" fontId="10" fillId="0" borderId="24" xfId="5" applyFont="1" applyBorder="1" applyAlignment="1">
      <alignment horizontal="left" vertical="center" wrapText="1"/>
    </xf>
    <xf numFmtId="4" fontId="6" fillId="0" borderId="35" xfId="5" applyNumberFormat="1" applyFont="1" applyBorder="1" applyAlignment="1">
      <alignment horizontal="center" vertical="center"/>
    </xf>
    <xf numFmtId="0" fontId="6" fillId="0" borderId="36" xfId="5" applyFont="1" applyBorder="1" applyAlignment="1">
      <alignment vertical="center"/>
    </xf>
    <xf numFmtId="4" fontId="6" fillId="0" borderId="37" xfId="5" applyNumberFormat="1" applyFont="1" applyBorder="1" applyAlignment="1">
      <alignment horizontal="center" vertical="center"/>
    </xf>
    <xf numFmtId="4" fontId="6" fillId="0" borderId="68" xfId="5" applyNumberFormat="1" applyFont="1" applyBorder="1" applyAlignment="1">
      <alignment horizontal="center" vertical="center"/>
    </xf>
    <xf numFmtId="0" fontId="6" fillId="0" borderId="68" xfId="5" applyFont="1" applyBorder="1" applyAlignment="1">
      <alignment horizontal="center" vertical="center"/>
    </xf>
    <xf numFmtId="4" fontId="2" fillId="0" borderId="24" xfId="5" applyNumberFormat="1" applyFont="1" applyBorder="1" applyAlignment="1">
      <alignment horizontal="center" vertical="center"/>
    </xf>
    <xf numFmtId="0" fontId="6" fillId="0" borderId="36" xfId="5" applyFont="1" applyBorder="1" applyAlignment="1">
      <alignment horizontal="left" vertical="center"/>
    </xf>
    <xf numFmtId="0" fontId="6" fillId="0" borderId="50" xfId="5" applyFont="1" applyBorder="1" applyAlignment="1">
      <alignment horizontal="left" vertical="center"/>
    </xf>
    <xf numFmtId="0" fontId="6" fillId="0" borderId="45" xfId="5" applyFont="1" applyBorder="1" applyAlignment="1">
      <alignment horizontal="center" vertical="center"/>
    </xf>
    <xf numFmtId="4" fontId="6" fillId="0" borderId="45" xfId="5" applyNumberFormat="1" applyFont="1" applyBorder="1" applyAlignment="1">
      <alignment horizontal="center" vertical="center"/>
    </xf>
    <xf numFmtId="4" fontId="6" fillId="0" borderId="46" xfId="5" applyNumberFormat="1" applyFont="1" applyBorder="1" applyAlignment="1">
      <alignment horizontal="center" vertical="center"/>
    </xf>
    <xf numFmtId="4" fontId="6" fillId="0" borderId="60" xfId="5" applyNumberFormat="1" applyFont="1" applyBorder="1" applyAlignment="1">
      <alignment horizontal="center" vertical="center"/>
    </xf>
    <xf numFmtId="0" fontId="2" fillId="0" borderId="40" xfId="5" applyFont="1" applyBorder="1" applyAlignment="1">
      <alignment vertical="center"/>
    </xf>
    <xf numFmtId="0" fontId="2" fillId="0" borderId="41" xfId="5" applyFont="1" applyBorder="1" applyAlignment="1">
      <alignment vertical="center"/>
    </xf>
    <xf numFmtId="0" fontId="2" fillId="0" borderId="80" xfId="5" applyFont="1" applyBorder="1" applyAlignment="1">
      <alignment vertical="center"/>
    </xf>
    <xf numFmtId="2" fontId="2" fillId="0" borderId="45" xfId="5" applyNumberFormat="1" applyFont="1" applyBorder="1" applyAlignment="1">
      <alignment vertical="center"/>
    </xf>
    <xf numFmtId="2" fontId="2" fillId="0" borderId="46" xfId="5" applyNumberFormat="1" applyFont="1" applyBorder="1" applyAlignment="1">
      <alignment vertical="center"/>
    </xf>
    <xf numFmtId="2" fontId="2" fillId="0" borderId="60" xfId="5" applyNumberFormat="1" applyFont="1" applyBorder="1" applyAlignment="1">
      <alignment vertical="center"/>
    </xf>
    <xf numFmtId="2" fontId="2" fillId="0" borderId="28" xfId="5" applyNumberFormat="1" applyFont="1" applyBorder="1" applyAlignment="1">
      <alignment vertical="center"/>
    </xf>
    <xf numFmtId="2" fontId="2" fillId="0" borderId="29" xfId="5" applyNumberFormat="1" applyFont="1" applyBorder="1" applyAlignment="1">
      <alignment vertical="center"/>
    </xf>
    <xf numFmtId="2" fontId="2" fillId="0" borderId="47" xfId="5" applyNumberFormat="1" applyFont="1" applyBorder="1" applyAlignment="1">
      <alignment vertical="center"/>
    </xf>
    <xf numFmtId="2" fontId="2" fillId="0" borderId="61" xfId="5" applyNumberFormat="1" applyFont="1" applyBorder="1" applyAlignment="1">
      <alignment vertical="center"/>
    </xf>
    <xf numFmtId="2" fontId="16" fillId="0" borderId="28" xfId="5" applyNumberFormat="1" applyFont="1" applyBorder="1" applyAlignment="1">
      <alignment vertical="center"/>
    </xf>
    <xf numFmtId="41" fontId="2" fillId="0" borderId="29" xfId="7" applyFont="1" applyBorder="1" applyAlignment="1">
      <alignment vertical="center"/>
    </xf>
    <xf numFmtId="3" fontId="6" fillId="0" borderId="84" xfId="5" applyNumberFormat="1" applyFont="1" applyBorder="1" applyAlignment="1">
      <alignment horizontal="center" vertical="center"/>
    </xf>
    <xf numFmtId="9" fontId="6" fillId="0" borderId="85" xfId="6" applyFont="1" applyFill="1" applyBorder="1" applyAlignment="1">
      <alignment horizontal="center" vertical="center"/>
    </xf>
    <xf numFmtId="2" fontId="16" fillId="0" borderId="86" xfId="5" applyNumberFormat="1" applyFont="1" applyBorder="1" applyAlignment="1">
      <alignment vertical="center"/>
    </xf>
    <xf numFmtId="2" fontId="2" fillId="0" borderId="54" xfId="5" applyNumberFormat="1" applyFont="1" applyBorder="1" applyAlignment="1">
      <alignment vertical="center"/>
    </xf>
    <xf numFmtId="2" fontId="2" fillId="0" borderId="55" xfId="5" applyNumberFormat="1" applyFont="1" applyBorder="1" applyAlignment="1">
      <alignment vertical="center"/>
    </xf>
    <xf numFmtId="2" fontId="2" fillId="0" borderId="79" xfId="5" applyNumberFormat="1" applyFont="1" applyBorder="1" applyAlignment="1">
      <alignment vertical="center"/>
    </xf>
    <xf numFmtId="0" fontId="2" fillId="0" borderId="40" xfId="5" applyFont="1" applyBorder="1" applyAlignment="1">
      <alignment horizontal="left" vertical="center"/>
    </xf>
    <xf numFmtId="0" fontId="2" fillId="0" borderId="41" xfId="5" applyFont="1" applyBorder="1" applyAlignment="1">
      <alignment horizontal="left" vertical="center"/>
    </xf>
    <xf numFmtId="0" fontId="6" fillId="0" borderId="31" xfId="5" applyFont="1" applyBorder="1" applyAlignment="1">
      <alignment vertical="center" wrapText="1"/>
    </xf>
    <xf numFmtId="4" fontId="6" fillId="0" borderId="18" xfId="5" applyNumberFormat="1" applyFont="1" applyBorder="1" applyAlignment="1">
      <alignment horizontal="center" vertical="center"/>
    </xf>
    <xf numFmtId="4" fontId="6" fillId="0" borderId="16" xfId="5" applyNumberFormat="1" applyFont="1" applyBorder="1" applyAlignment="1">
      <alignment horizontal="center" vertical="center"/>
    </xf>
    <xf numFmtId="0" fontId="2" fillId="0" borderId="87" xfId="5" applyFont="1" applyBorder="1" applyAlignment="1">
      <alignment vertical="center"/>
    </xf>
    <xf numFmtId="0" fontId="2" fillId="0" borderId="88" xfId="5" applyFont="1" applyBorder="1" applyAlignment="1">
      <alignment vertical="center"/>
    </xf>
    <xf numFmtId="168" fontId="2" fillId="0" borderId="89" xfId="5" applyNumberFormat="1" applyFont="1" applyBorder="1" applyAlignment="1">
      <alignment vertical="center"/>
    </xf>
    <xf numFmtId="0" fontId="2" fillId="0" borderId="89" xfId="5" applyFont="1" applyBorder="1" applyAlignment="1">
      <alignment vertical="center"/>
    </xf>
    <xf numFmtId="0" fontId="2" fillId="0" borderId="90" xfId="5" applyFont="1" applyBorder="1" applyAlignment="1">
      <alignment vertical="center"/>
    </xf>
    <xf numFmtId="0" fontId="2" fillId="0" borderId="91" xfId="5" applyFont="1" applyBorder="1" applyAlignment="1">
      <alignment vertical="center"/>
    </xf>
    <xf numFmtId="0" fontId="2" fillId="0" borderId="92" xfId="5" applyFont="1" applyBorder="1" applyAlignment="1">
      <alignment vertical="center"/>
    </xf>
    <xf numFmtId="0" fontId="2" fillId="0" borderId="93" xfId="5" applyFont="1" applyBorder="1" applyAlignment="1">
      <alignment vertical="center"/>
    </xf>
    <xf numFmtId="0" fontId="2" fillId="0" borderId="94" xfId="5" applyFont="1" applyBorder="1" applyAlignment="1">
      <alignment vertical="center"/>
    </xf>
    <xf numFmtId="0" fontId="2" fillId="0" borderId="95" xfId="5" applyFont="1" applyBorder="1" applyAlignment="1">
      <alignment vertical="center"/>
    </xf>
    <xf numFmtId="0" fontId="2" fillId="0" borderId="48" xfId="5" quotePrefix="1" applyFont="1" applyBorder="1" applyAlignment="1">
      <alignment vertical="center"/>
    </xf>
    <xf numFmtId="0" fontId="2" fillId="0" borderId="96" xfId="5" applyFont="1" applyBorder="1" applyAlignment="1">
      <alignment vertical="center"/>
    </xf>
    <xf numFmtId="0" fontId="2" fillId="0" borderId="97" xfId="5" applyFont="1" applyBorder="1" applyAlignment="1">
      <alignment vertical="center"/>
    </xf>
    <xf numFmtId="0" fontId="2" fillId="0" borderId="98" xfId="5" applyFont="1" applyBorder="1" applyAlignment="1">
      <alignment vertical="center"/>
    </xf>
    <xf numFmtId="0" fontId="16" fillId="0" borderId="48" xfId="5" applyFont="1" applyBorder="1" applyAlignment="1">
      <alignment vertical="center"/>
    </xf>
    <xf numFmtId="3" fontId="6" fillId="0" borderId="51" xfId="5" applyNumberFormat="1" applyFont="1" applyBorder="1" applyAlignment="1">
      <alignment horizontal="center" vertical="center"/>
    </xf>
    <xf numFmtId="0" fontId="16" fillId="0" borderId="48" xfId="5" quotePrefix="1" applyFont="1" applyBorder="1" applyAlignment="1">
      <alignment vertical="center"/>
    </xf>
    <xf numFmtId="0" fontId="16" fillId="0" borderId="99" xfId="5" applyFont="1" applyBorder="1" applyAlignment="1">
      <alignment vertical="center"/>
    </xf>
    <xf numFmtId="0" fontId="2" fillId="0" borderId="100" xfId="5" applyFont="1" applyBorder="1" applyAlignment="1">
      <alignment vertical="center"/>
    </xf>
    <xf numFmtId="0" fontId="2" fillId="0" borderId="101" xfId="5" applyFont="1" applyBorder="1" applyAlignment="1">
      <alignment vertical="center"/>
    </xf>
    <xf numFmtId="0" fontId="2" fillId="0" borderId="102" xfId="5" applyFont="1" applyBorder="1" applyAlignment="1">
      <alignment vertical="center"/>
    </xf>
    <xf numFmtId="0" fontId="12" fillId="0" borderId="86" xfId="5" applyFont="1" applyBorder="1" applyAlignment="1">
      <alignment vertical="center"/>
    </xf>
    <xf numFmtId="0" fontId="12" fillId="0" borderId="54" xfId="5" applyFont="1" applyBorder="1" applyAlignment="1">
      <alignment vertical="center"/>
    </xf>
    <xf numFmtId="0" fontId="2" fillId="0" borderId="103" xfId="5" applyFont="1" applyBorder="1" applyAlignment="1">
      <alignment horizontal="left" vertical="center"/>
    </xf>
    <xf numFmtId="0" fontId="2" fillId="0" borderId="93" xfId="5" applyFont="1" applyBorder="1" applyAlignment="1">
      <alignment horizontal="left" vertical="center"/>
    </xf>
    <xf numFmtId="0" fontId="12" fillId="0" borderId="48" xfId="5" applyFont="1" applyBorder="1" applyAlignment="1">
      <alignment vertical="center"/>
    </xf>
    <xf numFmtId="0" fontId="12" fillId="0" borderId="96" xfId="5" applyFont="1" applyBorder="1" applyAlignment="1">
      <alignment vertical="center"/>
    </xf>
    <xf numFmtId="3" fontId="6" fillId="0" borderId="68" xfId="5" applyNumberFormat="1" applyFont="1" applyBorder="1" applyAlignment="1">
      <alignment horizontal="center" vertical="center"/>
    </xf>
    <xf numFmtId="41" fontId="6" fillId="0" borderId="68" xfId="5" applyNumberFormat="1" applyFont="1" applyBorder="1" applyAlignment="1">
      <alignment horizontal="center" vertical="center"/>
    </xf>
    <xf numFmtId="168" fontId="2" fillId="0" borderId="92" xfId="5" applyNumberFormat="1" applyFont="1" applyBorder="1" applyAlignment="1">
      <alignment vertical="center"/>
    </xf>
    <xf numFmtId="168" fontId="2" fillId="0" borderId="93" xfId="5" applyNumberFormat="1" applyFont="1" applyBorder="1" applyAlignment="1">
      <alignment vertical="center"/>
    </xf>
    <xf numFmtId="170" fontId="6" fillId="0" borderId="23" xfId="6" applyNumberFormat="1" applyFont="1" applyFill="1" applyBorder="1" applyAlignment="1">
      <alignment horizontal="center" vertical="center"/>
    </xf>
    <xf numFmtId="168" fontId="2" fillId="0" borderId="48" xfId="5" quotePrefix="1" applyNumberFormat="1" applyFont="1" applyBorder="1" applyAlignment="1">
      <alignment vertical="center"/>
    </xf>
    <xf numFmtId="168" fontId="2" fillId="0" borderId="96" xfId="5" applyNumberFormat="1" applyFont="1" applyBorder="1" applyAlignment="1">
      <alignment vertical="center"/>
    </xf>
    <xf numFmtId="168" fontId="16" fillId="0" borderId="48" xfId="5" applyNumberFormat="1" applyFont="1" applyBorder="1" applyAlignment="1">
      <alignment vertical="center"/>
    </xf>
    <xf numFmtId="0" fontId="2" fillId="0" borderId="104" xfId="5" applyFont="1" applyBorder="1" applyAlignment="1">
      <alignment horizontal="left" vertical="center"/>
    </xf>
    <xf numFmtId="0" fontId="2" fillId="0" borderId="100" xfId="5" applyFont="1" applyBorder="1" applyAlignment="1">
      <alignment horizontal="left" vertical="center"/>
    </xf>
    <xf numFmtId="0" fontId="12" fillId="0" borderId="66" xfId="5" applyFont="1" applyBorder="1" applyAlignment="1">
      <alignment vertical="center"/>
    </xf>
    <xf numFmtId="0" fontId="12" fillId="0" borderId="45" xfId="5" applyFont="1" applyBorder="1" applyAlignment="1">
      <alignment vertical="center"/>
    </xf>
    <xf numFmtId="0" fontId="6" fillId="0" borderId="9" xfId="5" applyFont="1" applyBorder="1" applyAlignment="1">
      <alignment vertical="center"/>
    </xf>
    <xf numFmtId="0" fontId="6" fillId="0" borderId="105" xfId="5" applyFont="1" applyBorder="1" applyAlignment="1">
      <alignment horizontal="center" vertical="center"/>
    </xf>
    <xf numFmtId="0" fontId="6" fillId="0" borderId="75" xfId="5" applyFont="1" applyBorder="1" applyAlignment="1">
      <alignment horizontal="center" vertical="center"/>
    </xf>
    <xf numFmtId="0" fontId="6" fillId="0" borderId="24" xfId="5" applyFont="1" applyBorder="1" applyAlignment="1">
      <alignment vertical="center"/>
    </xf>
    <xf numFmtId="167" fontId="6" fillId="0" borderId="24" xfId="7" applyNumberFormat="1" applyFont="1" applyBorder="1" applyAlignment="1">
      <alignment horizontal="center" vertical="center"/>
    </xf>
    <xf numFmtId="167" fontId="6" fillId="0" borderId="24" xfId="1" applyNumberFormat="1" applyFont="1" applyBorder="1" applyAlignment="1">
      <alignment horizontal="center" vertical="center"/>
    </xf>
    <xf numFmtId="4" fontId="6" fillId="0" borderId="36" xfId="5" applyNumberFormat="1" applyFont="1" applyBorder="1" applyAlignment="1">
      <alignment vertical="center"/>
    </xf>
    <xf numFmtId="0" fontId="6" fillId="0" borderId="18" xfId="5" applyFont="1" applyBorder="1" applyAlignment="1">
      <alignment vertical="center"/>
    </xf>
    <xf numFmtId="0" fontId="2" fillId="0" borderId="106" xfId="5" applyFont="1" applyBorder="1" applyAlignment="1">
      <alignment vertical="center"/>
    </xf>
    <xf numFmtId="0" fontId="2" fillId="0" borderId="107" xfId="5" applyFont="1" applyBorder="1" applyAlignment="1">
      <alignment vertical="center"/>
    </xf>
    <xf numFmtId="168" fontId="2" fillId="0" borderId="108" xfId="5" applyNumberFormat="1" applyFont="1" applyBorder="1" applyAlignment="1">
      <alignment vertical="center"/>
    </xf>
    <xf numFmtId="2" fontId="2" fillId="0" borderId="108" xfId="5" applyNumberFormat="1" applyFont="1" applyBorder="1" applyAlignment="1">
      <alignment vertical="center"/>
    </xf>
    <xf numFmtId="2" fontId="2" fillId="0" borderId="109" xfId="5" applyNumberFormat="1" applyFont="1" applyBorder="1" applyAlignment="1">
      <alignment vertical="center"/>
    </xf>
    <xf numFmtId="2" fontId="2" fillId="0" borderId="110" xfId="5" applyNumberFormat="1" applyFont="1" applyBorder="1" applyAlignment="1">
      <alignment vertical="center"/>
    </xf>
    <xf numFmtId="166" fontId="6" fillId="0" borderId="24" xfId="7" applyNumberFormat="1" applyFont="1" applyBorder="1" applyAlignment="1">
      <alignment horizontal="center" vertical="center"/>
    </xf>
    <xf numFmtId="168" fontId="6" fillId="0" borderId="45" xfId="5" applyNumberFormat="1" applyFont="1" applyBorder="1" applyAlignment="1">
      <alignment horizontal="center" vertical="center"/>
    </xf>
    <xf numFmtId="0" fontId="6" fillId="0" borderId="59" xfId="5" applyFont="1" applyBorder="1" applyAlignment="1">
      <alignment horizontal="left" vertical="center"/>
    </xf>
    <xf numFmtId="0" fontId="6" fillId="0" borderId="29" xfId="5" applyFont="1" applyBorder="1" applyAlignment="1">
      <alignment horizontal="center" vertical="center"/>
    </xf>
    <xf numFmtId="168" fontId="6" fillId="0" borderId="29" xfId="5" applyNumberFormat="1" applyFont="1" applyBorder="1" applyAlignment="1">
      <alignment horizontal="center" vertical="center"/>
    </xf>
    <xf numFmtId="4" fontId="6" fillId="0" borderId="29" xfId="5" applyNumberFormat="1" applyFont="1" applyBorder="1" applyAlignment="1">
      <alignment horizontal="center" vertical="center"/>
    </xf>
    <xf numFmtId="4" fontId="6" fillId="0" borderId="47" xfId="5" applyNumberFormat="1" applyFont="1" applyBorder="1" applyAlignment="1">
      <alignment horizontal="center" vertical="center"/>
    </xf>
    <xf numFmtId="4" fontId="6" fillId="0" borderId="61" xfId="5" applyNumberFormat="1" applyFont="1" applyBorder="1" applyAlignment="1">
      <alignment horizontal="center" vertical="center"/>
    </xf>
    <xf numFmtId="0" fontId="6" fillId="0" borderId="78" xfId="5" applyFont="1" applyBorder="1" applyAlignment="1">
      <alignment horizontal="left" vertical="center"/>
    </xf>
    <xf numFmtId="168" fontId="2" fillId="0" borderId="45" xfId="5" applyNumberFormat="1" applyFont="1" applyBorder="1" applyAlignment="1">
      <alignment vertical="center"/>
    </xf>
    <xf numFmtId="0" fontId="2" fillId="0" borderId="45" xfId="5" applyFont="1" applyBorder="1" applyAlignment="1">
      <alignment vertical="center"/>
    </xf>
    <xf numFmtId="0" fontId="2" fillId="0" borderId="46" xfId="5" applyFont="1" applyBorder="1" applyAlignment="1">
      <alignment vertical="center"/>
    </xf>
    <xf numFmtId="0" fontId="2" fillId="0" borderId="60" xfId="5" applyFont="1" applyBorder="1" applyAlignment="1">
      <alignment vertical="center"/>
    </xf>
    <xf numFmtId="168" fontId="2" fillId="0" borderId="48" xfId="5" applyNumberFormat="1" applyFont="1" applyBorder="1" applyAlignment="1">
      <alignment vertical="center"/>
    </xf>
    <xf numFmtId="168" fontId="2" fillId="0" borderId="29" xfId="5" applyNumberFormat="1" applyFont="1" applyBorder="1" applyAlignment="1">
      <alignment vertical="center"/>
    </xf>
    <xf numFmtId="0" fontId="2" fillId="0" borderId="29" xfId="5" applyFont="1" applyBorder="1" applyAlignment="1">
      <alignment vertical="center"/>
    </xf>
    <xf numFmtId="0" fontId="2" fillId="0" borderId="47" xfId="5" applyFont="1" applyBorder="1" applyAlignment="1">
      <alignment vertical="center"/>
    </xf>
    <xf numFmtId="0" fontId="2" fillId="0" borderId="61" xfId="5" applyFont="1" applyBorder="1" applyAlignment="1">
      <alignment vertical="center"/>
    </xf>
    <xf numFmtId="41" fontId="6" fillId="0" borderId="16" xfId="7" applyFont="1" applyBorder="1" applyAlignment="1">
      <alignment horizontal="right" vertical="center"/>
    </xf>
    <xf numFmtId="0" fontId="16" fillId="0" borderId="49" xfId="5" quotePrefix="1" applyFont="1" applyBorder="1" applyAlignment="1">
      <alignment vertical="center"/>
    </xf>
    <xf numFmtId="0" fontId="2" fillId="0" borderId="42" xfId="5" applyFont="1" applyBorder="1" applyAlignment="1">
      <alignment horizontal="left" vertical="center"/>
    </xf>
    <xf numFmtId="0" fontId="2" fillId="0" borderId="43" xfId="5" applyFont="1" applyBorder="1" applyAlignment="1">
      <alignment horizontal="left" vertical="center"/>
    </xf>
    <xf numFmtId="0" fontId="16" fillId="0" borderId="0" xfId="5" quotePrefix="1" applyFont="1" applyBorder="1" applyAlignment="1">
      <alignment vertical="center"/>
    </xf>
    <xf numFmtId="0" fontId="2" fillId="0" borderId="54" xfId="5" applyFont="1" applyBorder="1" applyAlignment="1">
      <alignment vertical="center"/>
    </xf>
    <xf numFmtId="0" fontId="2" fillId="0" borderId="55" xfId="5" applyFont="1" applyBorder="1" applyAlignment="1">
      <alignment vertical="center"/>
    </xf>
    <xf numFmtId="0" fontId="2" fillId="0" borderId="79" xfId="5" applyFont="1" applyBorder="1" applyAlignment="1">
      <alignment vertical="center"/>
    </xf>
    <xf numFmtId="0" fontId="2" fillId="0" borderId="111" xfId="5" applyFont="1" applyBorder="1" applyAlignment="1">
      <alignment vertical="center"/>
    </xf>
    <xf numFmtId="0" fontId="2" fillId="0" borderId="112" xfId="5" applyFont="1" applyBorder="1" applyAlignment="1">
      <alignment vertical="center"/>
    </xf>
    <xf numFmtId="0" fontId="2" fillId="0" borderId="63" xfId="5" applyFont="1" applyBorder="1" applyAlignment="1">
      <alignment vertical="center"/>
    </xf>
    <xf numFmtId="0" fontId="2" fillId="0" borderId="113" xfId="5" applyFont="1" applyBorder="1" applyAlignment="1">
      <alignment vertical="center"/>
    </xf>
    <xf numFmtId="0" fontId="2" fillId="0" borderId="64" xfId="5" applyFont="1" applyBorder="1" applyAlignment="1">
      <alignment vertical="center"/>
    </xf>
    <xf numFmtId="0" fontId="17" fillId="3" borderId="2" xfId="5" applyFont="1" applyFill="1" applyBorder="1" applyAlignment="1">
      <alignment vertical="center"/>
    </xf>
    <xf numFmtId="0" fontId="11" fillId="0" borderId="25" xfId="5" applyFont="1" applyBorder="1" applyAlignment="1">
      <alignment vertical="center"/>
    </xf>
    <xf numFmtId="0" fontId="11" fillId="0" borderId="26" xfId="5" applyFont="1" applyBorder="1" applyAlignment="1">
      <alignment vertical="center"/>
    </xf>
    <xf numFmtId="0" fontId="11" fillId="0" borderId="27" xfId="5" applyFont="1" applyBorder="1" applyAlignment="1">
      <alignment vertical="center"/>
    </xf>
    <xf numFmtId="0" fontId="6" fillId="0" borderId="1" xfId="5" applyFont="1" applyBorder="1" applyAlignment="1">
      <alignment vertical="center"/>
    </xf>
    <xf numFmtId="0" fontId="6" fillId="0" borderId="2" xfId="5" applyFont="1" applyBorder="1" applyAlignment="1">
      <alignment vertical="center"/>
    </xf>
    <xf numFmtId="0" fontId="6" fillId="0" borderId="3" xfId="5" applyFont="1" applyBorder="1" applyAlignment="1">
      <alignment vertical="center"/>
    </xf>
    <xf numFmtId="0" fontId="6" fillId="0" borderId="81" xfId="5" applyFont="1" applyBorder="1" applyAlignment="1">
      <alignment vertical="center"/>
    </xf>
    <xf numFmtId="0" fontId="6" fillId="0" borderId="82" xfId="5" applyFont="1" applyBorder="1" applyAlignment="1">
      <alignment vertical="center"/>
    </xf>
    <xf numFmtId="0" fontId="6" fillId="0" borderId="83" xfId="5" applyFont="1" applyBorder="1" applyAlignment="1">
      <alignment vertical="center"/>
    </xf>
    <xf numFmtId="0" fontId="6" fillId="0" borderId="4" xfId="5" applyFont="1" applyBorder="1" applyAlignment="1">
      <alignment vertical="center"/>
    </xf>
    <xf numFmtId="0" fontId="6" fillId="0" borderId="0" xfId="5" applyFont="1" applyAlignment="1">
      <alignment vertical="center"/>
    </xf>
    <xf numFmtId="0" fontId="6" fillId="0" borderId="5" xfId="5" applyFont="1" applyBorder="1" applyAlignment="1">
      <alignment vertical="center"/>
    </xf>
    <xf numFmtId="0" fontId="2" fillId="0" borderId="81" xfId="5" applyFont="1" applyBorder="1" applyAlignment="1">
      <alignment vertical="center"/>
    </xf>
    <xf numFmtId="0" fontId="2" fillId="0" borderId="82" xfId="5" applyFont="1" applyBorder="1" applyAlignment="1">
      <alignment vertical="center"/>
    </xf>
    <xf numFmtId="0" fontId="2" fillId="0" borderId="83" xfId="5" applyFont="1" applyBorder="1" applyAlignment="1">
      <alignment vertical="center"/>
    </xf>
    <xf numFmtId="0" fontId="2" fillId="0" borderId="115" xfId="5" applyFont="1" applyBorder="1" applyAlignment="1">
      <alignment vertical="center"/>
    </xf>
    <xf numFmtId="0" fontId="2" fillId="0" borderId="116" xfId="5" applyFont="1" applyBorder="1" applyAlignment="1">
      <alignment vertical="center"/>
    </xf>
    <xf numFmtId="0" fontId="2" fillId="0" borderId="117" xfId="5" applyFont="1" applyBorder="1" applyAlignment="1">
      <alignment vertical="center"/>
    </xf>
    <xf numFmtId="0" fontId="2" fillId="0" borderId="20" xfId="5" applyFont="1" applyBorder="1" applyAlignment="1">
      <alignment vertical="center"/>
    </xf>
    <xf numFmtId="0" fontId="2" fillId="0" borderId="114" xfId="5" applyFont="1" applyBorder="1" applyAlignment="1">
      <alignment vertical="center"/>
    </xf>
    <xf numFmtId="0" fontId="2" fillId="0" borderId="22" xfId="5" applyFont="1" applyBorder="1" applyAlignment="1">
      <alignment vertical="center"/>
    </xf>
    <xf numFmtId="0" fontId="6" fillId="0" borderId="12" xfId="5" applyFont="1" applyBorder="1" applyAlignment="1">
      <alignment vertical="center"/>
    </xf>
    <xf numFmtId="0" fontId="6" fillId="0" borderId="13" xfId="5" applyFont="1" applyBorder="1" applyAlignment="1">
      <alignment vertical="center"/>
    </xf>
    <xf numFmtId="0" fontId="6" fillId="0" borderId="14" xfId="5" applyFont="1" applyBorder="1" applyAlignment="1">
      <alignment vertical="center"/>
    </xf>
    <xf numFmtId="0" fontId="6" fillId="0" borderId="0" xfId="5" applyFont="1" applyBorder="1" applyAlignment="1">
      <alignment vertical="center"/>
    </xf>
    <xf numFmtId="0" fontId="2" fillId="0" borderId="12" xfId="5" applyFont="1" applyBorder="1" applyAlignment="1">
      <alignment vertical="center"/>
    </xf>
    <xf numFmtId="0" fontId="2" fillId="0" borderId="13" xfId="5" applyFont="1" applyBorder="1" applyAlignment="1">
      <alignment vertical="center"/>
    </xf>
    <xf numFmtId="0" fontId="2" fillId="0" borderId="14" xfId="5" applyFont="1" applyBorder="1" applyAlignment="1">
      <alignment vertical="center"/>
    </xf>
    <xf numFmtId="0" fontId="6" fillId="0" borderId="10" xfId="5" applyFont="1" applyBorder="1" applyAlignment="1">
      <alignment vertical="center"/>
    </xf>
    <xf numFmtId="0" fontId="6" fillId="0" borderId="11" xfId="5" applyFont="1" applyBorder="1" applyAlignment="1">
      <alignment vertical="center"/>
    </xf>
    <xf numFmtId="0" fontId="6" fillId="0" borderId="32" xfId="5" applyFont="1" applyBorder="1" applyAlignment="1">
      <alignment vertical="center"/>
    </xf>
    <xf numFmtId="0" fontId="2" fillId="0" borderId="32" xfId="5" applyFont="1" applyBorder="1" applyAlignment="1">
      <alignment vertical="center"/>
    </xf>
    <xf numFmtId="0" fontId="10" fillId="0" borderId="34" xfId="5" applyFont="1" applyBorder="1" applyAlignment="1">
      <alignment horizontal="left" vertical="center" wrapText="1"/>
    </xf>
    <xf numFmtId="0" fontId="9" fillId="0" borderId="36" xfId="5" applyFont="1" applyBorder="1" applyAlignment="1">
      <alignment horizontal="left" vertical="center" wrapText="1"/>
    </xf>
    <xf numFmtId="164" fontId="6" fillId="0" borderId="71" xfId="3" applyNumberFormat="1" applyFont="1" applyBorder="1" applyAlignment="1">
      <alignment horizontal="center" vertical="center"/>
    </xf>
    <xf numFmtId="164" fontId="6" fillId="0" borderId="17" xfId="3" applyNumberFormat="1" applyFont="1" applyBorder="1" applyAlignment="1">
      <alignment horizontal="center" vertical="center"/>
    </xf>
    <xf numFmtId="0" fontId="14" fillId="0" borderId="42" xfId="0" applyFont="1" applyFill="1" applyBorder="1"/>
    <xf numFmtId="167" fontId="14" fillId="0" borderId="44" xfId="1" applyNumberFormat="1" applyFont="1" applyFill="1" applyBorder="1" applyAlignment="1"/>
    <xf numFmtId="0" fontId="10" fillId="0" borderId="118" xfId="0" applyFont="1" applyFill="1" applyBorder="1"/>
    <xf numFmtId="0" fontId="10" fillId="0" borderId="119" xfId="0" applyFont="1" applyFill="1" applyBorder="1"/>
    <xf numFmtId="0" fontId="10" fillId="0" borderId="57" xfId="0" applyFont="1" applyFill="1" applyBorder="1"/>
    <xf numFmtId="0" fontId="10" fillId="0" borderId="120" xfId="0" applyFont="1" applyFill="1" applyBorder="1"/>
    <xf numFmtId="0" fontId="10" fillId="0" borderId="3" xfId="0" applyFont="1" applyFill="1" applyBorder="1"/>
    <xf numFmtId="164" fontId="10" fillId="0" borderId="0" xfId="0" applyNumberFormat="1" applyFont="1" applyFill="1" applyBorder="1"/>
    <xf numFmtId="164" fontId="10" fillId="0" borderId="28" xfId="0" applyNumberFormat="1" applyFont="1" applyFill="1" applyBorder="1"/>
    <xf numFmtId="164" fontId="10" fillId="0" borderId="29" xfId="0" applyNumberFormat="1" applyFont="1" applyFill="1" applyBorder="1"/>
    <xf numFmtId="164" fontId="10" fillId="0" borderId="61" xfId="0" applyNumberFormat="1" applyFont="1" applyFill="1" applyBorder="1"/>
    <xf numFmtId="164" fontId="10" fillId="0" borderId="121" xfId="0" applyNumberFormat="1" applyFont="1" applyFill="1" applyBorder="1"/>
    <xf numFmtId="0" fontId="10" fillId="0" borderId="5" xfId="0" applyFont="1" applyFill="1" applyBorder="1"/>
    <xf numFmtId="164" fontId="10" fillId="0" borderId="122" xfId="0" applyNumberFormat="1" applyFont="1" applyFill="1" applyBorder="1"/>
    <xf numFmtId="0" fontId="10" fillId="0" borderId="61" xfId="0" applyFont="1" applyFill="1" applyBorder="1"/>
    <xf numFmtId="164" fontId="10" fillId="0" borderId="59" xfId="0" applyNumberFormat="1" applyFont="1" applyFill="1" applyBorder="1"/>
    <xf numFmtId="164" fontId="10" fillId="0" borderId="45" xfId="0" applyNumberFormat="1" applyFont="1" applyFill="1" applyBorder="1"/>
    <xf numFmtId="0" fontId="9" fillId="0" borderId="0" xfId="0" applyFont="1" applyFill="1" applyBorder="1" applyAlignment="1">
      <alignment horizontal="right"/>
    </xf>
    <xf numFmtId="167" fontId="10" fillId="0" borderId="59" xfId="1" applyNumberFormat="1" applyFont="1" applyFill="1" applyBorder="1"/>
    <xf numFmtId="167" fontId="10" fillId="0" borderId="29" xfId="1" applyNumberFormat="1" applyFont="1" applyFill="1" applyBorder="1"/>
    <xf numFmtId="167" fontId="10" fillId="0" borderId="29" xfId="0" applyNumberFormat="1" applyFont="1" applyFill="1" applyBorder="1"/>
    <xf numFmtId="167" fontId="10" fillId="0" borderId="61" xfId="0" applyNumberFormat="1" applyFont="1" applyFill="1" applyBorder="1"/>
    <xf numFmtId="0" fontId="10" fillId="0" borderId="59" xfId="0" applyFont="1" applyFill="1" applyBorder="1"/>
    <xf numFmtId="167" fontId="10" fillId="0" borderId="62" xfId="0" applyNumberFormat="1" applyFont="1" applyFill="1" applyBorder="1"/>
    <xf numFmtId="0" fontId="10" fillId="0" borderId="63" xfId="0" applyFont="1" applyFill="1" applyBorder="1"/>
    <xf numFmtId="0" fontId="10" fillId="0" borderId="113" xfId="0" applyFont="1" applyFill="1" applyBorder="1"/>
    <xf numFmtId="0" fontId="10" fillId="0" borderId="8" xfId="0" applyFont="1" applyFill="1" applyBorder="1"/>
    <xf numFmtId="166" fontId="10" fillId="0" borderId="0" xfId="0" applyNumberFormat="1" applyFont="1"/>
    <xf numFmtId="9" fontId="10" fillId="0" borderId="0" xfId="4" applyFont="1"/>
    <xf numFmtId="167" fontId="10" fillId="0" borderId="7" xfId="1" applyNumberFormat="1" applyFont="1" applyBorder="1" applyAlignment="1">
      <alignment horizontal="center" vertical="center"/>
    </xf>
    <xf numFmtId="9" fontId="10" fillId="0" borderId="7" xfId="4" applyFont="1" applyBorder="1" applyAlignment="1">
      <alignment horizontal="center" vertical="center"/>
    </xf>
    <xf numFmtId="164" fontId="2" fillId="0" borderId="39" xfId="3" applyNumberFormat="1" applyFont="1" applyBorder="1" applyAlignment="1">
      <alignment horizontal="center" vertical="center"/>
    </xf>
    <xf numFmtId="0" fontId="10" fillId="0" borderId="6" xfId="0" applyFont="1" applyBorder="1"/>
    <xf numFmtId="0" fontId="10" fillId="0" borderId="0" xfId="0" applyFont="1" applyFill="1"/>
    <xf numFmtId="41" fontId="2" fillId="0" borderId="76" xfId="0" applyNumberFormat="1" applyFont="1" applyFill="1" applyBorder="1" applyAlignment="1">
      <alignment horizontal="center" vertical="center" wrapText="1"/>
    </xf>
    <xf numFmtId="41" fontId="2" fillId="0" borderId="39" xfId="0" applyNumberFormat="1" applyFont="1" applyFill="1" applyBorder="1" applyAlignment="1">
      <alignment horizontal="center" vertical="center" wrapText="1"/>
    </xf>
    <xf numFmtId="167" fontId="2" fillId="0" borderId="0" xfId="0" applyNumberFormat="1" applyFont="1" applyFill="1" applyBorder="1" applyAlignment="1">
      <alignment horizontal="center" vertical="center" wrapText="1"/>
    </xf>
    <xf numFmtId="9" fontId="2" fillId="0" borderId="0" xfId="4" applyFont="1" applyFill="1" applyBorder="1" applyAlignment="1">
      <alignment horizontal="center" vertical="center" wrapText="1"/>
    </xf>
    <xf numFmtId="0" fontId="10" fillId="0" borderId="4" xfId="0" applyFont="1" applyFill="1" applyBorder="1"/>
    <xf numFmtId="167" fontId="2" fillId="0" borderId="76" xfId="0" applyNumberFormat="1" applyFont="1" applyFill="1" applyBorder="1" applyAlignment="1">
      <alignment horizontal="center" vertical="center" wrapText="1"/>
    </xf>
    <xf numFmtId="167" fontId="2" fillId="0" borderId="39" xfId="0" applyNumberFormat="1" applyFont="1" applyFill="1" applyBorder="1" applyAlignment="1">
      <alignment horizontal="center" vertical="center" wrapText="1"/>
    </xf>
    <xf numFmtId="9" fontId="2" fillId="0" borderId="39" xfId="4" applyFont="1" applyFill="1" applyBorder="1" applyAlignment="1">
      <alignment horizontal="center" vertical="center" wrapText="1"/>
    </xf>
    <xf numFmtId="0" fontId="6" fillId="4" borderId="15" xfId="0" applyFont="1" applyFill="1" applyBorder="1" applyAlignment="1">
      <alignment horizontal="center" vertical="center" wrapText="1"/>
    </xf>
    <xf numFmtId="0" fontId="6" fillId="4" borderId="30"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6" fillId="4" borderId="30" xfId="0" applyFont="1" applyFill="1" applyBorder="1" applyAlignment="1">
      <alignment horizontal="center" vertical="center"/>
    </xf>
    <xf numFmtId="0" fontId="6" fillId="4" borderId="10" xfId="0" applyFont="1" applyFill="1" applyBorder="1" applyAlignment="1">
      <alignment horizontal="center" vertical="center"/>
    </xf>
    <xf numFmtId="0" fontId="6" fillId="4" borderId="2" xfId="0" applyFont="1" applyFill="1" applyBorder="1" applyAlignment="1">
      <alignment horizontal="center" vertical="center"/>
    </xf>
    <xf numFmtId="0" fontId="6" fillId="4" borderId="123"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10" fillId="0" borderId="1" xfId="0" applyFont="1" applyBorder="1"/>
    <xf numFmtId="0" fontId="10" fillId="0" borderId="124" xfId="0" applyFont="1" applyBorder="1"/>
    <xf numFmtId="166" fontId="2" fillId="0" borderId="35" xfId="1" applyNumberFormat="1" applyFont="1" applyFill="1" applyBorder="1" applyAlignment="1">
      <alignment horizontal="center" vertical="center" wrapText="1"/>
    </xf>
    <xf numFmtId="166" fontId="2" fillId="0" borderId="39" xfId="1" applyNumberFormat="1" applyFont="1" applyFill="1" applyBorder="1" applyAlignment="1">
      <alignment horizontal="center" vertical="center" wrapText="1"/>
    </xf>
    <xf numFmtId="166" fontId="10" fillId="0" borderId="71" xfId="1" applyNumberFormat="1" applyFont="1" applyBorder="1" applyAlignment="1">
      <alignment horizontal="center" vertical="center"/>
    </xf>
    <xf numFmtId="167" fontId="2" fillId="0" borderId="35" xfId="0" applyNumberFormat="1" applyFont="1" applyFill="1" applyBorder="1" applyAlignment="1">
      <alignment horizontal="center" vertical="center" wrapText="1"/>
    </xf>
    <xf numFmtId="164" fontId="2" fillId="0" borderId="24" xfId="2" applyNumberFormat="1" applyFont="1" applyBorder="1" applyAlignment="1">
      <alignment horizontal="center" vertical="center"/>
    </xf>
    <xf numFmtId="164" fontId="2" fillId="0" borderId="0" xfId="2" applyNumberFormat="1" applyFont="1" applyBorder="1" applyAlignment="1">
      <alignment horizontal="center" vertical="center"/>
    </xf>
    <xf numFmtId="0" fontId="9" fillId="0" borderId="34" xfId="5" applyFont="1" applyBorder="1" applyAlignment="1">
      <alignment horizontal="left" vertical="center" wrapText="1"/>
    </xf>
    <xf numFmtId="164" fontId="6" fillId="0" borderId="24" xfId="2" applyNumberFormat="1" applyFont="1" applyBorder="1" applyAlignment="1">
      <alignment horizontal="center" vertical="center"/>
    </xf>
    <xf numFmtId="164" fontId="6" fillId="0" borderId="16" xfId="2" applyNumberFormat="1" applyFont="1" applyBorder="1" applyAlignment="1">
      <alignment horizontal="center" vertical="center"/>
    </xf>
    <xf numFmtId="164" fontId="6" fillId="0" borderId="0" xfId="2" applyNumberFormat="1" applyFont="1" applyBorder="1" applyAlignment="1">
      <alignment horizontal="center" vertical="center"/>
    </xf>
    <xf numFmtId="164" fontId="2" fillId="0" borderId="16" xfId="2" applyNumberFormat="1" applyFont="1" applyBorder="1" applyAlignment="1">
      <alignment horizontal="center" vertical="center"/>
    </xf>
    <xf numFmtId="0" fontId="12" fillId="0" borderId="66" xfId="0" applyFont="1" applyFill="1" applyBorder="1"/>
    <xf numFmtId="164" fontId="10" fillId="0" borderId="50" xfId="0" applyNumberFormat="1" applyFont="1" applyFill="1" applyBorder="1"/>
    <xf numFmtId="164" fontId="10" fillId="0" borderId="41" xfId="0" applyNumberFormat="1" applyFont="1" applyFill="1" applyBorder="1"/>
    <xf numFmtId="0" fontId="10" fillId="0" borderId="56" xfId="0" applyFont="1" applyFill="1" applyBorder="1"/>
    <xf numFmtId="0" fontId="0" fillId="0" borderId="54" xfId="0" applyFill="1" applyBorder="1"/>
    <xf numFmtId="0" fontId="0" fillId="0" borderId="55" xfId="0" applyFill="1" applyBorder="1"/>
    <xf numFmtId="0" fontId="0" fillId="0" borderId="46" xfId="0" applyFill="1" applyBorder="1"/>
    <xf numFmtId="0" fontId="9" fillId="0" borderId="31" xfId="0" applyFont="1" applyBorder="1" applyAlignment="1">
      <alignment horizontal="left" vertical="center" wrapText="1"/>
    </xf>
    <xf numFmtId="164" fontId="2" fillId="0" borderId="16" xfId="3" applyNumberFormat="1" applyFont="1" applyBorder="1" applyAlignment="1">
      <alignment horizontal="right" vertical="center"/>
    </xf>
    <xf numFmtId="3" fontId="6" fillId="0" borderId="51" xfId="0" applyNumberFormat="1" applyFont="1" applyFill="1" applyBorder="1" applyAlignment="1">
      <alignment horizontal="right" vertical="center"/>
    </xf>
    <xf numFmtId="9" fontId="6" fillId="0" borderId="52" xfId="6" applyFont="1" applyFill="1" applyBorder="1" applyAlignment="1">
      <alignment horizontal="right" vertical="center"/>
    </xf>
    <xf numFmtId="9" fontId="6" fillId="0" borderId="53" xfId="6" applyFont="1" applyFill="1" applyBorder="1" applyAlignment="1">
      <alignment horizontal="right" vertical="center"/>
    </xf>
    <xf numFmtId="0" fontId="12" fillId="0" borderId="28" xfId="0" applyFont="1" applyBorder="1"/>
    <xf numFmtId="0" fontId="12" fillId="0" borderId="29" xfId="0" applyFont="1" applyBorder="1"/>
    <xf numFmtId="0" fontId="6" fillId="0" borderId="1" xfId="0" applyFont="1" applyBorder="1" applyAlignment="1">
      <alignment horizontal="center" vertical="center"/>
    </xf>
    <xf numFmtId="0" fontId="6" fillId="0" borderId="30" xfId="0" applyFont="1" applyBorder="1" applyAlignment="1">
      <alignment horizontal="center" vertical="center"/>
    </xf>
    <xf numFmtId="0" fontId="6" fillId="0" borderId="15" xfId="0" applyFont="1" applyBorder="1" applyAlignment="1">
      <alignment horizontal="center" vertical="center"/>
    </xf>
    <xf numFmtId="0" fontId="6" fillId="0" borderId="0" xfId="0" applyFont="1" applyBorder="1" applyAlignment="1">
      <alignment horizontal="center" vertical="center"/>
    </xf>
    <xf numFmtId="0" fontId="6" fillId="0" borderId="31" xfId="0" applyFont="1" applyBorder="1" applyAlignment="1">
      <alignment vertical="center"/>
    </xf>
    <xf numFmtId="0" fontId="6" fillId="0" borderId="32" xfId="0" applyFont="1" applyBorder="1" applyAlignment="1">
      <alignment horizontal="center" vertical="center"/>
    </xf>
    <xf numFmtId="0" fontId="6" fillId="0" borderId="0" xfId="5" applyFont="1" applyBorder="1" applyAlignment="1">
      <alignment horizontal="center" vertical="center"/>
    </xf>
    <xf numFmtId="0" fontId="6" fillId="0" borderId="33" xfId="0" applyFont="1" applyBorder="1" applyAlignment="1">
      <alignment vertical="center"/>
    </xf>
    <xf numFmtId="0" fontId="6" fillId="0" borderId="24" xfId="0" applyFont="1" applyBorder="1" applyAlignment="1">
      <alignment vertical="center"/>
    </xf>
    <xf numFmtId="0" fontId="2" fillId="0" borderId="24" xfId="0" applyFont="1" applyBorder="1" applyAlignment="1">
      <alignment horizontal="center" vertical="center"/>
    </xf>
    <xf numFmtId="41" fontId="2" fillId="0" borderId="24" xfId="1" applyFont="1" applyFill="1" applyBorder="1" applyAlignment="1">
      <alignment vertical="center"/>
    </xf>
    <xf numFmtId="41" fontId="2" fillId="0" borderId="16" xfId="1" applyFont="1" applyFill="1" applyBorder="1" applyAlignment="1">
      <alignment vertical="center"/>
    </xf>
    <xf numFmtId="41" fontId="2" fillId="0" borderId="0" xfId="1" applyFont="1" applyFill="1" applyBorder="1" applyAlignment="1">
      <alignment vertical="center"/>
    </xf>
    <xf numFmtId="0" fontId="2" fillId="0" borderId="31" xfId="0" applyFont="1" applyBorder="1" applyAlignment="1">
      <alignment vertical="center"/>
    </xf>
    <xf numFmtId="41" fontId="2" fillId="0" borderId="16" xfId="1" applyFont="1" applyFill="1" applyBorder="1" applyAlignment="1">
      <alignment horizontal="center" vertical="center"/>
    </xf>
    <xf numFmtId="0" fontId="2" fillId="0" borderId="34" xfId="0" applyFont="1" applyBorder="1" applyAlignment="1">
      <alignment vertical="center"/>
    </xf>
    <xf numFmtId="0" fontId="2" fillId="0" borderId="35" xfId="0" applyFont="1" applyBorder="1" applyAlignment="1">
      <alignment horizontal="center" vertical="center"/>
    </xf>
    <xf numFmtId="0" fontId="6" fillId="0" borderId="35" xfId="0" applyFont="1" applyBorder="1" applyAlignment="1">
      <alignment horizontal="center" vertical="center"/>
    </xf>
    <xf numFmtId="168" fontId="2" fillId="0" borderId="35" xfId="1" applyNumberFormat="1" applyFont="1" applyFill="1" applyBorder="1" applyAlignment="1">
      <alignment horizontal="center" vertical="center"/>
    </xf>
    <xf numFmtId="41" fontId="2" fillId="0" borderId="35" xfId="1" applyFont="1" applyFill="1" applyBorder="1" applyAlignment="1">
      <alignment horizontal="center" vertical="center"/>
    </xf>
    <xf numFmtId="41" fontId="2" fillId="0" borderId="72" xfId="1" applyFont="1" applyFill="1" applyBorder="1" applyAlignment="1">
      <alignment horizontal="center" vertical="center"/>
    </xf>
    <xf numFmtId="0" fontId="6" fillId="0" borderId="36" xfId="0" applyFont="1" applyBorder="1" applyAlignment="1">
      <alignment horizontal="left" vertical="center"/>
    </xf>
    <xf numFmtId="0" fontId="6" fillId="0" borderId="37" xfId="0" applyFont="1" applyBorder="1" applyAlignment="1">
      <alignment horizontal="center" vertical="center"/>
    </xf>
    <xf numFmtId="41" fontId="6" fillId="0" borderId="37" xfId="1" applyFont="1" applyFill="1" applyBorder="1" applyAlignment="1">
      <alignment horizontal="center" vertical="center"/>
    </xf>
    <xf numFmtId="41" fontId="6" fillId="0" borderId="77" xfId="1" applyFont="1" applyFill="1" applyBorder="1" applyAlignment="1">
      <alignment horizontal="center" vertical="center"/>
    </xf>
    <xf numFmtId="0" fontId="6" fillId="0" borderId="33" xfId="0" applyFont="1" applyBorder="1" applyAlignment="1">
      <alignment horizontal="left" vertical="center"/>
    </xf>
    <xf numFmtId="0" fontId="6" fillId="0" borderId="68" xfId="0" applyFont="1" applyBorder="1" applyAlignment="1">
      <alignment horizontal="center" vertical="center"/>
    </xf>
    <xf numFmtId="41" fontId="6" fillId="0" borderId="68" xfId="1" applyFont="1" applyFill="1" applyBorder="1" applyAlignment="1">
      <alignment horizontal="center" vertical="center"/>
    </xf>
    <xf numFmtId="41" fontId="6" fillId="0" borderId="75" xfId="1" applyFont="1" applyFill="1" applyBorder="1" applyAlignment="1">
      <alignment horizontal="center" vertical="center"/>
    </xf>
    <xf numFmtId="0" fontId="6" fillId="0" borderId="34" xfId="0" applyFont="1" applyBorder="1" applyAlignment="1">
      <alignment horizontal="left" vertical="center"/>
    </xf>
    <xf numFmtId="0" fontId="6" fillId="0" borderId="24" xfId="0" applyFont="1" applyBorder="1" applyAlignment="1">
      <alignment horizontal="center" vertical="center"/>
    </xf>
    <xf numFmtId="41" fontId="6" fillId="0" borderId="35" xfId="1" applyFont="1" applyFill="1" applyBorder="1" applyAlignment="1">
      <alignment horizontal="center" vertical="center"/>
    </xf>
    <xf numFmtId="41" fontId="6" fillId="0" borderId="72" xfId="1" applyFont="1" applyFill="1" applyBorder="1" applyAlignment="1">
      <alignment horizontal="center" vertical="center"/>
    </xf>
    <xf numFmtId="0" fontId="2" fillId="0" borderId="34" xfId="0" applyFont="1" applyBorder="1" applyAlignment="1">
      <alignment horizontal="left" vertical="center"/>
    </xf>
    <xf numFmtId="0" fontId="14" fillId="0" borderId="28" xfId="0" applyFont="1" applyBorder="1"/>
    <xf numFmtId="0" fontId="14" fillId="0" borderId="29" xfId="0" applyFont="1" applyBorder="1"/>
    <xf numFmtId="0" fontId="6" fillId="0" borderId="36" xfId="0" applyFont="1" applyBorder="1" applyAlignment="1">
      <alignment vertical="center"/>
    </xf>
    <xf numFmtId="0" fontId="6" fillId="0" borderId="42" xfId="0" applyFont="1" applyBorder="1" applyAlignment="1">
      <alignment horizontal="left" vertical="center"/>
    </xf>
    <xf numFmtId="0" fontId="6" fillId="0" borderId="43" xfId="0" applyFont="1" applyBorder="1" applyAlignment="1">
      <alignment horizontal="center" vertical="center"/>
    </xf>
    <xf numFmtId="168" fontId="6" fillId="0" borderId="43" xfId="1" applyNumberFormat="1" applyFont="1" applyFill="1" applyBorder="1" applyAlignment="1">
      <alignment horizontal="center" vertical="center"/>
    </xf>
    <xf numFmtId="168" fontId="6" fillId="0" borderId="44" xfId="1" applyNumberFormat="1" applyFont="1" applyFill="1" applyBorder="1" applyAlignment="1">
      <alignment horizontal="center" vertical="center"/>
    </xf>
    <xf numFmtId="168" fontId="6" fillId="0" borderId="0" xfId="1" applyNumberFormat="1" applyFont="1" applyFill="1" applyBorder="1" applyAlignment="1">
      <alignment horizontal="center" vertical="center"/>
    </xf>
    <xf numFmtId="0" fontId="6" fillId="0" borderId="4" xfId="0" applyFont="1" applyBorder="1" applyAlignment="1">
      <alignment horizontal="left" vertical="center"/>
    </xf>
    <xf numFmtId="168" fontId="2" fillId="0" borderId="45" xfId="0" applyNumberFormat="1" applyFont="1" applyBorder="1" applyAlignment="1">
      <alignment vertical="center"/>
    </xf>
    <xf numFmtId="0" fontId="2" fillId="0" borderId="45" xfId="0" applyFont="1" applyBorder="1" applyAlignment="1">
      <alignment vertical="center"/>
    </xf>
    <xf numFmtId="4" fontId="6" fillId="0" borderId="45" xfId="0" applyNumberFormat="1" applyFont="1" applyBorder="1" applyAlignment="1">
      <alignment horizontal="center" vertical="center"/>
    </xf>
    <xf numFmtId="4" fontId="6" fillId="0" borderId="60" xfId="0" applyNumberFormat="1" applyFont="1" applyBorder="1" applyAlignment="1">
      <alignment horizontal="center" vertical="center"/>
    </xf>
    <xf numFmtId="4" fontId="6" fillId="0" borderId="0" xfId="0" applyNumberFormat="1" applyFont="1" applyBorder="1" applyAlignment="1">
      <alignment horizontal="center" vertical="center"/>
    </xf>
    <xf numFmtId="168" fontId="2" fillId="0" borderId="28" xfId="0" applyNumberFormat="1" applyFont="1" applyBorder="1" applyAlignment="1">
      <alignment vertical="center"/>
    </xf>
    <xf numFmtId="168" fontId="2" fillId="0" borderId="29" xfId="0" applyNumberFormat="1" applyFont="1" applyBorder="1" applyAlignment="1">
      <alignment vertical="center"/>
    </xf>
    <xf numFmtId="0" fontId="2" fillId="0" borderId="29" xfId="0" applyFont="1" applyBorder="1" applyAlignment="1">
      <alignment vertical="center"/>
    </xf>
    <xf numFmtId="0" fontId="2" fillId="0" borderId="60" xfId="0" applyFont="1" applyBorder="1" applyAlignment="1">
      <alignment vertical="center"/>
    </xf>
    <xf numFmtId="0" fontId="2" fillId="0" borderId="0" xfId="0" applyFont="1" applyBorder="1" applyAlignment="1">
      <alignment vertical="center"/>
    </xf>
    <xf numFmtId="0" fontId="6" fillId="0" borderId="31" xfId="0" applyFont="1" applyBorder="1" applyAlignment="1">
      <alignment horizontal="left" vertical="center"/>
    </xf>
    <xf numFmtId="0" fontId="2" fillId="0" borderId="61" xfId="0" applyFont="1" applyBorder="1" applyAlignment="1">
      <alignment vertical="center"/>
    </xf>
    <xf numFmtId="0" fontId="2" fillId="0" borderId="28" xfId="0" applyFont="1" applyBorder="1" applyAlignment="1">
      <alignment vertical="center"/>
    </xf>
    <xf numFmtId="0" fontId="2" fillId="0" borderId="31" xfId="0" applyFont="1" applyBorder="1" applyAlignment="1">
      <alignment horizontal="left" vertical="center"/>
    </xf>
    <xf numFmtId="3" fontId="6" fillId="0" borderId="16" xfId="0" applyNumberFormat="1" applyFont="1" applyBorder="1" applyAlignment="1">
      <alignment horizontal="right" vertical="center"/>
    </xf>
    <xf numFmtId="0" fontId="16" fillId="0" borderId="48" xfId="0" quotePrefix="1" applyFont="1" applyBorder="1" applyAlignment="1">
      <alignment vertical="center"/>
    </xf>
    <xf numFmtId="0" fontId="16" fillId="0" borderId="49" xfId="0" quotePrefix="1" applyFont="1" applyBorder="1" applyAlignment="1">
      <alignment vertical="center"/>
    </xf>
    <xf numFmtId="0" fontId="12" fillId="0" borderId="42" xfId="0" applyFont="1" applyBorder="1"/>
    <xf numFmtId="2" fontId="14" fillId="0" borderId="44" xfId="0" applyNumberFormat="1" applyFont="1" applyBorder="1" applyAlignment="1">
      <alignment horizontal="right"/>
    </xf>
    <xf numFmtId="0" fontId="12" fillId="0" borderId="61" xfId="0" applyFont="1" applyBorder="1"/>
    <xf numFmtId="0" fontId="12" fillId="0" borderId="0" xfId="0" applyFont="1" applyBorder="1"/>
    <xf numFmtId="2" fontId="14" fillId="0" borderId="0" xfId="0" applyNumberFormat="1" applyFont="1" applyBorder="1" applyAlignment="1">
      <alignment horizontal="right"/>
    </xf>
    <xf numFmtId="0" fontId="12" fillId="0" borderId="86" xfId="0" applyFont="1" applyBorder="1"/>
    <xf numFmtId="0" fontId="12" fillId="0" borderId="54" xfId="0" applyFont="1" applyBorder="1"/>
    <xf numFmtId="0" fontId="12" fillId="0" borderId="55" xfId="0" applyFont="1" applyBorder="1"/>
    <xf numFmtId="0" fontId="12" fillId="0" borderId="66" xfId="0" applyFont="1" applyBorder="1"/>
    <xf numFmtId="0" fontId="12" fillId="0" borderId="45" xfId="0" applyFont="1" applyBorder="1"/>
    <xf numFmtId="0" fontId="0" fillId="0" borderId="29" xfId="0" applyBorder="1"/>
    <xf numFmtId="0" fontId="0" fillId="0" borderId="47" xfId="0" applyBorder="1"/>
    <xf numFmtId="0" fontId="0" fillId="0" borderId="28" xfId="0" applyBorder="1"/>
    <xf numFmtId="0" fontId="11" fillId="0" borderId="25" xfId="0" applyFont="1" applyBorder="1" applyAlignment="1">
      <alignment vertical="center"/>
    </xf>
    <xf numFmtId="0" fontId="11" fillId="0" borderId="26" xfId="0" applyFont="1" applyBorder="1" applyAlignment="1">
      <alignment vertical="center"/>
    </xf>
    <xf numFmtId="0" fontId="11" fillId="0" borderId="27" xfId="0" applyFont="1" applyBorder="1" applyAlignment="1">
      <alignment vertical="center"/>
    </xf>
    <xf numFmtId="0" fontId="6" fillId="0" borderId="9" xfId="0" applyFont="1" applyBorder="1" applyAlignment="1">
      <alignment vertical="center"/>
    </xf>
    <xf numFmtId="0" fontId="6" fillId="0" borderId="11" xfId="0" applyFont="1" applyBorder="1" applyAlignment="1">
      <alignment vertical="center"/>
    </xf>
    <xf numFmtId="0" fontId="6" fillId="0" borderId="12" xfId="0" applyFont="1" applyBorder="1" applyAlignment="1">
      <alignment vertical="center"/>
    </xf>
    <xf numFmtId="0" fontId="6" fillId="0" borderId="14" xfId="0" applyFont="1" applyBorder="1" applyAlignment="1">
      <alignment vertical="center"/>
    </xf>
    <xf numFmtId="41" fontId="2" fillId="0" borderId="71" xfId="0" applyNumberFormat="1" applyFont="1" applyFill="1" applyBorder="1" applyAlignment="1">
      <alignment horizontal="center" vertical="center" wrapText="1"/>
    </xf>
    <xf numFmtId="41" fontId="2" fillId="0" borderId="17" xfId="0" applyNumberFormat="1" applyFont="1" applyFill="1" applyBorder="1" applyAlignment="1">
      <alignment horizontal="center" vertical="center" wrapText="1"/>
    </xf>
    <xf numFmtId="0" fontId="6" fillId="0" borderId="9" xfId="0" applyFont="1" applyFill="1" applyBorder="1" applyAlignment="1">
      <alignment horizontal="right" vertical="center"/>
    </xf>
    <xf numFmtId="0" fontId="4" fillId="0" borderId="19" xfId="0" applyFont="1" applyBorder="1"/>
    <xf numFmtId="10" fontId="4" fillId="0" borderId="11" xfId="0" applyNumberFormat="1" applyFont="1" applyBorder="1"/>
    <xf numFmtId="0" fontId="6" fillId="0" borderId="12" xfId="0" applyFont="1" applyFill="1" applyBorder="1" applyAlignment="1">
      <alignment horizontal="right" vertical="center"/>
    </xf>
    <xf numFmtId="0" fontId="4" fillId="0" borderId="18" xfId="0" applyFont="1" applyBorder="1"/>
    <xf numFmtId="41" fontId="4" fillId="0" borderId="14" xfId="1" applyFont="1" applyBorder="1"/>
    <xf numFmtId="9" fontId="4" fillId="0" borderId="14" xfId="1" applyNumberFormat="1" applyFont="1" applyBorder="1"/>
    <xf numFmtId="0" fontId="6" fillId="0" borderId="20" xfId="0" applyFont="1" applyFill="1" applyBorder="1" applyAlignment="1">
      <alignment horizontal="right" vertical="center"/>
    </xf>
    <xf numFmtId="0" fontId="4" fillId="0" borderId="21" xfId="0" applyFont="1" applyBorder="1"/>
    <xf numFmtId="9" fontId="4" fillId="0" borderId="22" xfId="0" applyNumberFormat="1" applyFont="1" applyBorder="1"/>
    <xf numFmtId="0" fontId="6" fillId="0" borderId="6" xfId="0" applyFont="1" applyFill="1" applyBorder="1" applyAlignment="1">
      <alignment horizontal="right" vertical="center"/>
    </xf>
    <xf numFmtId="9" fontId="4" fillId="0" borderId="8" xfId="0" applyNumberFormat="1" applyFont="1" applyBorder="1"/>
    <xf numFmtId="9" fontId="4" fillId="0" borderId="11" xfId="0" applyNumberFormat="1" applyFont="1" applyBorder="1"/>
    <xf numFmtId="9" fontId="4" fillId="0" borderId="14" xfId="0" applyNumberFormat="1" applyFont="1" applyBorder="1"/>
    <xf numFmtId="0" fontId="4" fillId="0" borderId="137" xfId="0" applyFont="1" applyBorder="1"/>
    <xf numFmtId="0" fontId="2" fillId="0" borderId="138" xfId="0" applyFont="1" applyFill="1" applyBorder="1" applyAlignment="1">
      <alignment vertical="center"/>
    </xf>
    <xf numFmtId="0" fontId="2" fillId="0" borderId="139" xfId="0" applyFont="1" applyFill="1" applyBorder="1" applyAlignment="1">
      <alignment horizontal="center" vertical="center"/>
    </xf>
    <xf numFmtId="0" fontId="6" fillId="0" borderId="138" xfId="0" applyFont="1" applyFill="1" applyBorder="1" applyAlignment="1">
      <alignment horizontal="left" vertical="center"/>
    </xf>
    <xf numFmtId="0" fontId="2" fillId="0" borderId="138" xfId="0" applyFont="1" applyFill="1" applyBorder="1" applyAlignment="1">
      <alignment horizontal="left" vertical="center"/>
    </xf>
    <xf numFmtId="0" fontId="55" fillId="0" borderId="0" xfId="150" applyFont="1"/>
    <xf numFmtId="0" fontId="55" fillId="0" borderId="24" xfId="150" applyFont="1" applyBorder="1"/>
    <xf numFmtId="176" fontId="55" fillId="0" borderId="0" xfId="150" applyNumberFormat="1" applyFont="1"/>
    <xf numFmtId="168" fontId="55" fillId="0" borderId="0" xfId="150" applyNumberFormat="1" applyFont="1"/>
    <xf numFmtId="0" fontId="55" fillId="0" borderId="0" xfId="150" applyFont="1" applyAlignment="1">
      <alignment wrapText="1"/>
    </xf>
    <xf numFmtId="0" fontId="55" fillId="34" borderId="0" xfId="150" applyFont="1" applyFill="1" applyAlignment="1">
      <alignment horizontal="center" vertical="center"/>
    </xf>
    <xf numFmtId="0" fontId="55" fillId="0" borderId="0" xfId="150" applyFont="1" applyAlignment="1">
      <alignment horizontal="center" vertical="center"/>
    </xf>
    <xf numFmtId="171" fontId="55" fillId="0" borderId="0" xfId="150" applyNumberFormat="1" applyFont="1"/>
    <xf numFmtId="0" fontId="57" fillId="0" borderId="0" xfId="150" applyFont="1"/>
    <xf numFmtId="177" fontId="55" fillId="0" borderId="0" xfId="150" applyNumberFormat="1" applyFont="1"/>
    <xf numFmtId="178" fontId="57" fillId="0" borderId="18" xfId="150" applyNumberFormat="1" applyFont="1" applyBorder="1" applyAlignment="1">
      <alignment horizontal="center" vertical="center" wrapText="1"/>
    </xf>
    <xf numFmtId="3" fontId="59" fillId="0" borderId="24" xfId="150" applyNumberFormat="1" applyFont="1" applyBorder="1" applyAlignment="1">
      <alignment horizontal="center" vertical="center" wrapText="1"/>
    </xf>
    <xf numFmtId="176" fontId="55" fillId="0" borderId="24" xfId="150" applyNumberFormat="1" applyFont="1" applyBorder="1" applyAlignment="1">
      <alignment horizontal="center" vertical="center"/>
    </xf>
    <xf numFmtId="168" fontId="55" fillId="0" borderId="24" xfId="150" applyNumberFormat="1" applyFont="1" applyBorder="1" applyAlignment="1">
      <alignment horizontal="center" vertical="center"/>
    </xf>
    <xf numFmtId="0" fontId="60" fillId="0" borderId="24" xfId="150" applyFont="1" applyBorder="1" applyAlignment="1">
      <alignment horizontal="left" vertical="center" wrapText="1"/>
    </xf>
    <xf numFmtId="0" fontId="57" fillId="34" borderId="24" xfId="150" applyFont="1" applyFill="1" applyBorder="1" applyAlignment="1">
      <alignment horizontal="center" vertical="center" wrapText="1"/>
    </xf>
    <xf numFmtId="0" fontId="57" fillId="0" borderId="24" xfId="150" applyFont="1" applyBorder="1" applyAlignment="1">
      <alignment horizontal="center" vertical="center" wrapText="1"/>
    </xf>
    <xf numFmtId="0" fontId="60" fillId="37" borderId="24" xfId="150" applyFont="1" applyFill="1" applyBorder="1" applyAlignment="1">
      <alignment horizontal="left" vertical="center" wrapText="1"/>
    </xf>
    <xf numFmtId="0" fontId="57" fillId="38" borderId="18" xfId="150" applyFont="1" applyFill="1" applyBorder="1" applyAlignment="1">
      <alignment horizontal="center" vertical="center" wrapText="1"/>
    </xf>
    <xf numFmtId="0" fontId="57" fillId="38" borderId="24" xfId="150" applyFont="1" applyFill="1" applyBorder="1" applyAlignment="1">
      <alignment horizontal="center" vertical="center" wrapText="1"/>
    </xf>
    <xf numFmtId="178" fontId="57" fillId="0" borderId="0" xfId="150" applyNumberFormat="1" applyFont="1" applyAlignment="1">
      <alignment horizontal="center" vertical="center" wrapText="1"/>
    </xf>
    <xf numFmtId="3" fontId="59" fillId="0" borderId="0" xfId="150" applyNumberFormat="1" applyFont="1" applyAlignment="1">
      <alignment horizontal="center" vertical="center" wrapText="1"/>
    </xf>
    <xf numFmtId="176" fontId="55" fillId="0" borderId="0" xfId="150" applyNumberFormat="1" applyFont="1" applyAlignment="1">
      <alignment horizontal="center" vertical="center"/>
    </xf>
    <xf numFmtId="168" fontId="55" fillId="0" borderId="0" xfId="150" applyNumberFormat="1" applyFont="1" applyAlignment="1">
      <alignment horizontal="center" vertical="center"/>
    </xf>
    <xf numFmtId="0" fontId="60" fillId="37" borderId="0" xfId="150" applyFont="1" applyFill="1" applyAlignment="1">
      <alignment horizontal="left" vertical="center" wrapText="1"/>
    </xf>
    <xf numFmtId="0" fontId="57" fillId="34" borderId="0" xfId="150" applyFont="1" applyFill="1" applyAlignment="1">
      <alignment horizontal="center" vertical="center" wrapText="1"/>
    </xf>
    <xf numFmtId="0" fontId="57" fillId="0" borderId="0" xfId="150" applyFont="1" applyAlignment="1">
      <alignment horizontal="center" vertical="center" wrapText="1"/>
    </xf>
    <xf numFmtId="0" fontId="61" fillId="38" borderId="0" xfId="150" applyFont="1" applyFill="1"/>
    <xf numFmtId="0" fontId="61" fillId="0" borderId="0" xfId="150" applyFont="1"/>
    <xf numFmtId="3" fontId="61" fillId="0" borderId="0" xfId="150" applyNumberFormat="1" applyFont="1"/>
    <xf numFmtId="0" fontId="61" fillId="34" borderId="0" xfId="150" applyFont="1" applyFill="1"/>
    <xf numFmtId="170" fontId="61" fillId="38" borderId="0" xfId="6" applyNumberFormat="1" applyFont="1" applyFill="1"/>
    <xf numFmtId="170" fontId="55" fillId="0" borderId="0" xfId="6" applyNumberFormat="1" applyFont="1"/>
    <xf numFmtId="0" fontId="57" fillId="0" borderId="0" xfId="150" applyFont="1" applyAlignment="1">
      <alignment wrapText="1"/>
    </xf>
    <xf numFmtId="0" fontId="57" fillId="34" borderId="0" xfId="150" applyFont="1" applyFill="1" applyAlignment="1">
      <alignment horizontal="center" vertical="center"/>
    </xf>
    <xf numFmtId="168" fontId="55" fillId="0" borderId="18" xfId="150" applyNumberFormat="1" applyFont="1" applyBorder="1"/>
    <xf numFmtId="0" fontId="57" fillId="0" borderId="24" xfId="150" applyFont="1" applyBorder="1" applyAlignment="1">
      <alignment horizontal="left" vertical="center" wrapText="1"/>
    </xf>
    <xf numFmtId="178" fontId="55" fillId="0" borderId="18" xfId="150" applyNumberFormat="1" applyFont="1" applyBorder="1" applyAlignment="1">
      <alignment horizontal="center" vertical="center" wrapText="1"/>
    </xf>
    <xf numFmtId="0" fontId="57" fillId="38" borderId="18" xfId="150" applyFont="1" applyFill="1" applyBorder="1" applyAlignment="1">
      <alignment horizontal="center" vertical="center"/>
    </xf>
    <xf numFmtId="168" fontId="57" fillId="38" borderId="32" xfId="150" applyNumberFormat="1" applyFont="1" applyFill="1" applyBorder="1" applyAlignment="1">
      <alignment horizontal="center" vertical="center" wrapText="1"/>
    </xf>
    <xf numFmtId="0" fontId="57" fillId="38" borderId="24" xfId="150" applyFont="1" applyFill="1" applyBorder="1" applyAlignment="1">
      <alignment horizontal="left" vertical="center" wrapText="1"/>
    </xf>
    <xf numFmtId="0" fontId="55" fillId="34" borderId="0" xfId="150" applyFont="1" applyFill="1"/>
    <xf numFmtId="178" fontId="55" fillId="0" borderId="0" xfId="150" applyNumberFormat="1" applyFont="1"/>
    <xf numFmtId="0" fontId="58" fillId="39" borderId="24" xfId="150" applyFont="1" applyFill="1" applyBorder="1" applyAlignment="1">
      <alignment horizontal="center" vertical="center" wrapText="1"/>
    </xf>
    <xf numFmtId="168" fontId="57" fillId="38" borderId="24" xfId="150" applyNumberFormat="1" applyFont="1" applyFill="1" applyBorder="1" applyAlignment="1">
      <alignment horizontal="center" vertical="center" wrapText="1"/>
    </xf>
    <xf numFmtId="0" fontId="55" fillId="0" borderId="18" xfId="150" applyFont="1" applyBorder="1" applyAlignment="1">
      <alignment wrapText="1"/>
    </xf>
    <xf numFmtId="0" fontId="62" fillId="0" borderId="0" xfId="150" applyFont="1"/>
    <xf numFmtId="168" fontId="58" fillId="38" borderId="24" xfId="150" applyNumberFormat="1" applyFont="1" applyFill="1" applyBorder="1" applyAlignment="1">
      <alignment horizontal="center" vertical="center" wrapText="1"/>
    </xf>
    <xf numFmtId="0" fontId="55" fillId="0" borderId="13" xfId="150" applyFont="1" applyBorder="1"/>
    <xf numFmtId="0" fontId="55" fillId="0" borderId="18" xfId="150" applyFont="1" applyBorder="1"/>
    <xf numFmtId="0" fontId="57" fillId="0" borderId="18" xfId="150" applyFont="1" applyBorder="1" applyAlignment="1">
      <alignment horizontal="left" vertical="center" wrapText="1"/>
    </xf>
    <xf numFmtId="168" fontId="55" fillId="37" borderId="24" xfId="150" applyNumberFormat="1" applyFont="1" applyFill="1" applyBorder="1" applyAlignment="1">
      <alignment horizontal="center" vertical="center"/>
    </xf>
    <xf numFmtId="0" fontId="55" fillId="0" borderId="24" xfId="150" applyFont="1" applyBorder="1" applyAlignment="1">
      <alignment horizontal="left" vertical="center" wrapText="1"/>
    </xf>
    <xf numFmtId="0" fontId="57" fillId="0" borderId="24" xfId="150" applyFont="1" applyBorder="1" applyAlignment="1">
      <alignment horizontal="center" vertical="center"/>
    </xf>
    <xf numFmtId="3" fontId="59" fillId="37" borderId="24" xfId="150" applyNumberFormat="1" applyFont="1" applyFill="1" applyBorder="1" applyAlignment="1">
      <alignment horizontal="center" vertical="center" wrapText="1"/>
    </xf>
    <xf numFmtId="0" fontId="60" fillId="0" borderId="24" xfId="150" applyFont="1" applyBorder="1" applyAlignment="1">
      <alignment wrapText="1"/>
    </xf>
    <xf numFmtId="178" fontId="57" fillId="0" borderId="24" xfId="150" applyNumberFormat="1" applyFont="1" applyBorder="1" applyAlignment="1">
      <alignment horizontal="center" vertical="center" wrapText="1"/>
    </xf>
    <xf numFmtId="0" fontId="60" fillId="0" borderId="24" xfId="150" applyFont="1" applyBorder="1" applyAlignment="1">
      <alignment vertical="center" wrapText="1"/>
    </xf>
    <xf numFmtId="176" fontId="57" fillId="0" borderId="0" xfId="150" applyNumberFormat="1" applyFont="1"/>
    <xf numFmtId="168" fontId="57" fillId="0" borderId="0" xfId="150" applyNumberFormat="1" applyFont="1"/>
    <xf numFmtId="178" fontId="57" fillId="0" borderId="0" xfId="150" applyNumberFormat="1" applyFont="1" applyAlignment="1">
      <alignment horizontal="right" vertical="top"/>
    </xf>
    <xf numFmtId="3" fontId="56" fillId="0" borderId="0" xfId="150" applyNumberFormat="1" applyFont="1" applyAlignment="1">
      <alignment horizontal="right" vertical="top" wrapText="1"/>
    </xf>
    <xf numFmtId="176" fontId="59" fillId="0" borderId="0" xfId="150" applyNumberFormat="1" applyFont="1" applyAlignment="1">
      <alignment horizontal="right" vertical="top" wrapText="1"/>
    </xf>
    <xf numFmtId="168" fontId="59" fillId="0" borderId="0" xfId="150" applyNumberFormat="1" applyFont="1" applyAlignment="1">
      <alignment horizontal="right" vertical="top" wrapText="1"/>
    </xf>
    <xf numFmtId="0" fontId="57" fillId="0" borderId="0" xfId="150" applyFont="1" applyAlignment="1">
      <alignment horizontal="right" vertical="top" wrapText="1"/>
    </xf>
    <xf numFmtId="168" fontId="55" fillId="37" borderId="24" xfId="150" applyNumberFormat="1" applyFont="1" applyFill="1" applyBorder="1" applyAlignment="1">
      <alignment horizontal="center" vertical="center" wrapText="1"/>
    </xf>
    <xf numFmtId="178" fontId="57" fillId="0" borderId="0" xfId="150" applyNumberFormat="1" applyFont="1" applyAlignment="1">
      <alignment horizontal="right" vertical="top" wrapText="1"/>
    </xf>
    <xf numFmtId="3" fontId="59" fillId="0" borderId="0" xfId="150" applyNumberFormat="1" applyFont="1" applyAlignment="1">
      <alignment horizontal="right" vertical="top" wrapText="1"/>
    </xf>
    <xf numFmtId="0" fontId="60" fillId="0" borderId="0" xfId="150" applyFont="1" applyAlignment="1">
      <alignment horizontal="left" vertical="top" wrapText="1"/>
    </xf>
    <xf numFmtId="0" fontId="60" fillId="0" borderId="0" xfId="150" applyFont="1"/>
    <xf numFmtId="179" fontId="55" fillId="0" borderId="0" xfId="150" applyNumberFormat="1" applyFont="1"/>
    <xf numFmtId="0" fontId="57" fillId="0" borderId="0" xfId="150" applyFont="1" applyAlignment="1">
      <alignment horizontal="left" vertical="top" wrapText="1"/>
    </xf>
    <xf numFmtId="0" fontId="55" fillId="0" borderId="24" xfId="150" applyFont="1" applyBorder="1" applyAlignment="1">
      <alignment horizontal="left" vertical="top" wrapText="1"/>
    </xf>
    <xf numFmtId="178" fontId="60" fillId="38" borderId="0" xfId="150" applyNumberFormat="1" applyFont="1" applyFill="1"/>
    <xf numFmtId="168" fontId="55" fillId="0" borderId="24" xfId="150" applyNumberFormat="1" applyFont="1" applyBorder="1" applyAlignment="1">
      <alignment horizontal="center" vertical="center" wrapText="1"/>
    </xf>
    <xf numFmtId="0" fontId="64" fillId="0" borderId="0" xfId="150" applyFont="1" applyAlignment="1" applyProtection="1">
      <alignment horizontal="center" vertical="top" wrapText="1"/>
      <protection locked="0"/>
    </xf>
    <xf numFmtId="176" fontId="64" fillId="0" borderId="0" xfId="150" applyNumberFormat="1" applyFont="1" applyAlignment="1" applyProtection="1">
      <alignment horizontal="center" vertical="top" wrapText="1"/>
      <protection locked="0"/>
    </xf>
    <xf numFmtId="168" fontId="64" fillId="0" borderId="0" xfId="150" applyNumberFormat="1" applyFont="1" applyAlignment="1" applyProtection="1">
      <alignment horizontal="center" vertical="top" wrapText="1"/>
      <protection locked="0"/>
    </xf>
    <xf numFmtId="180" fontId="61" fillId="38" borderId="0" xfId="150" applyNumberFormat="1" applyFont="1" applyFill="1"/>
    <xf numFmtId="0" fontId="65" fillId="0" borderId="0" xfId="150" applyFont="1" applyAlignment="1">
      <alignment wrapText="1"/>
    </xf>
    <xf numFmtId="0" fontId="66" fillId="0" borderId="0" xfId="150" applyFont="1" applyAlignment="1">
      <alignment wrapText="1"/>
    </xf>
    <xf numFmtId="0" fontId="67" fillId="34" borderId="0" xfId="150" applyFont="1" applyFill="1" applyAlignment="1">
      <alignment horizontal="center" vertical="center"/>
    </xf>
    <xf numFmtId="0" fontId="13" fillId="0" borderId="0" xfId="150"/>
    <xf numFmtId="0" fontId="13" fillId="0" borderId="0" xfId="150" applyAlignment="1">
      <alignment vertical="center"/>
    </xf>
    <xf numFmtId="0" fontId="5" fillId="0" borderId="0" xfId="150" applyFont="1"/>
    <xf numFmtId="181" fontId="5" fillId="0" borderId="142" xfId="150" applyNumberFormat="1" applyFont="1" applyBorder="1"/>
    <xf numFmtId="0" fontId="5" fillId="0" borderId="105" xfId="150" applyFont="1" applyBorder="1"/>
    <xf numFmtId="181" fontId="13" fillId="0" borderId="144" xfId="150" applyNumberFormat="1" applyBorder="1"/>
    <xf numFmtId="0" fontId="5" fillId="0" borderId="124" xfId="150" applyFont="1" applyBorder="1"/>
    <xf numFmtId="181" fontId="5" fillId="0" borderId="144" xfId="150" applyNumberFormat="1" applyFont="1" applyBorder="1"/>
    <xf numFmtId="181" fontId="13" fillId="0" borderId="0" xfId="150" applyNumberFormat="1"/>
    <xf numFmtId="181" fontId="5" fillId="0" borderId="145" xfId="150" applyNumberFormat="1" applyFont="1" applyBorder="1"/>
    <xf numFmtId="0" fontId="5" fillId="0" borderId="141" xfId="150" applyFont="1" applyBorder="1"/>
    <xf numFmtId="0" fontId="5" fillId="0" borderId="24" xfId="150" applyFont="1" applyBorder="1"/>
    <xf numFmtId="182" fontId="13" fillId="0" borderId="0" xfId="150" applyNumberFormat="1"/>
    <xf numFmtId="0" fontId="5" fillId="0" borderId="141" xfId="150" applyFont="1" applyBorder="1" applyAlignment="1">
      <alignment horizontal="left" wrapText="1"/>
    </xf>
    <xf numFmtId="0" fontId="13" fillId="40" borderId="24" xfId="150" applyFill="1" applyBorder="1" applyAlignment="1">
      <alignment horizontal="center" vertical="center" wrapText="1"/>
    </xf>
    <xf numFmtId="181" fontId="13" fillId="0" borderId="142" xfId="150" applyNumberFormat="1" applyBorder="1"/>
    <xf numFmtId="181" fontId="13" fillId="0" borderId="143" xfId="150" applyNumberFormat="1" applyBorder="1"/>
    <xf numFmtId="181" fontId="13" fillId="0" borderId="145" xfId="150" applyNumberFormat="1" applyBorder="1"/>
    <xf numFmtId="181" fontId="13" fillId="0" borderId="146" xfId="150" applyNumberFormat="1" applyBorder="1"/>
    <xf numFmtId="9" fontId="0" fillId="0" borderId="0" xfId="6" applyFont="1" applyFill="1"/>
    <xf numFmtId="0" fontId="68" fillId="0" borderId="0" xfId="150" applyFont="1"/>
    <xf numFmtId="181" fontId="68" fillId="0" borderId="0" xfId="150" applyNumberFormat="1" applyFont="1"/>
    <xf numFmtId="1" fontId="13" fillId="0" borderId="0" xfId="150" applyNumberFormat="1"/>
    <xf numFmtId="171" fontId="13" fillId="0" borderId="0" xfId="150" applyNumberFormat="1"/>
    <xf numFmtId="0" fontId="69" fillId="0" borderId="0" xfId="150" applyFont="1"/>
    <xf numFmtId="181" fontId="70" fillId="0" borderId="0" xfId="150" applyNumberFormat="1" applyFont="1" applyAlignment="1">
      <alignment horizontal="left"/>
    </xf>
    <xf numFmtId="181" fontId="70" fillId="41" borderId="24" xfId="150" applyNumberFormat="1" applyFont="1" applyFill="1" applyBorder="1" applyAlignment="1">
      <alignment horizontal="left"/>
    </xf>
    <xf numFmtId="181" fontId="69" fillId="41" borderId="24" xfId="150" applyNumberFormat="1" applyFont="1" applyFill="1" applyBorder="1"/>
    <xf numFmtId="0" fontId="69" fillId="41" borderId="24" xfId="150" applyFont="1" applyFill="1" applyBorder="1"/>
    <xf numFmtId="0" fontId="69" fillId="41" borderId="24" xfId="150" applyFont="1" applyFill="1" applyBorder="1" applyAlignment="1">
      <alignment vertical="center"/>
    </xf>
    <xf numFmtId="0" fontId="69" fillId="42" borderId="24" xfId="150" applyFont="1" applyFill="1" applyBorder="1" applyAlignment="1">
      <alignment wrapText="1"/>
    </xf>
    <xf numFmtId="0" fontId="69" fillId="42" borderId="24" xfId="150" applyFont="1" applyFill="1" applyBorder="1" applyAlignment="1">
      <alignment vertical="center" wrapText="1"/>
    </xf>
    <xf numFmtId="0" fontId="69" fillId="42" borderId="24" xfId="150" applyFont="1" applyFill="1" applyBorder="1" applyAlignment="1">
      <alignment horizontal="center" vertical="center" wrapText="1"/>
    </xf>
    <xf numFmtId="0" fontId="68" fillId="36" borderId="24" xfId="150" applyFont="1" applyFill="1" applyBorder="1" applyAlignment="1">
      <alignment horizontal="center" wrapText="1"/>
    </xf>
    <xf numFmtId="0" fontId="68" fillId="43" borderId="68" xfId="150" applyFont="1" applyFill="1" applyBorder="1" applyAlignment="1">
      <alignment horizontal="center" vertical="center" wrapText="1"/>
    </xf>
    <xf numFmtId="0" fontId="68" fillId="36" borderId="24" xfId="150" applyFont="1" applyFill="1" applyBorder="1" applyAlignment="1">
      <alignment vertical="center"/>
    </xf>
    <xf numFmtId="0" fontId="68" fillId="36" borderId="24" xfId="150" applyFont="1" applyFill="1" applyBorder="1" applyAlignment="1">
      <alignment horizontal="center" vertical="center" wrapText="1"/>
    </xf>
    <xf numFmtId="0" fontId="70" fillId="36" borderId="24" xfId="150" applyFont="1" applyFill="1" applyBorder="1" applyAlignment="1">
      <alignment horizontal="center" vertical="center" wrapText="1"/>
    </xf>
    <xf numFmtId="0" fontId="13" fillId="35" borderId="0" xfId="150" applyFill="1"/>
    <xf numFmtId="0" fontId="68" fillId="39" borderId="24" xfId="150" applyFont="1" applyFill="1" applyBorder="1" applyAlignment="1">
      <alignment horizontal="center" vertical="center" wrapText="1"/>
    </xf>
    <xf numFmtId="0" fontId="68" fillId="39" borderId="0" xfId="150" applyFont="1" applyFill="1" applyAlignment="1">
      <alignment horizontal="left" vertical="center"/>
    </xf>
    <xf numFmtId="0" fontId="68" fillId="36" borderId="24" xfId="150" applyFont="1" applyFill="1" applyBorder="1" applyAlignment="1">
      <alignment vertical="center" wrapText="1"/>
    </xf>
    <xf numFmtId="0" fontId="68" fillId="36" borderId="68" xfId="150" applyFont="1" applyFill="1" applyBorder="1" applyAlignment="1">
      <alignment horizontal="center" wrapText="1"/>
    </xf>
    <xf numFmtId="0" fontId="68" fillId="36" borderId="68" xfId="150" applyFont="1" applyFill="1" applyBorder="1" applyAlignment="1">
      <alignment vertical="center" wrapText="1"/>
    </xf>
    <xf numFmtId="0" fontId="70" fillId="0" borderId="30" xfId="150" applyFont="1" applyBorder="1" applyAlignment="1">
      <alignment horizontal="center" vertical="center" wrapText="1"/>
    </xf>
    <xf numFmtId="0" fontId="69" fillId="42" borderId="37" xfId="150" applyFont="1" applyFill="1" applyBorder="1" applyAlignment="1">
      <alignment horizontal="center" wrapText="1"/>
    </xf>
    <xf numFmtId="0" fontId="69" fillId="42" borderId="37" xfId="150" applyFont="1" applyFill="1" applyBorder="1" applyAlignment="1">
      <alignment vertical="center" wrapText="1"/>
    </xf>
    <xf numFmtId="0" fontId="69" fillId="42" borderId="37" xfId="150" applyFont="1" applyFill="1" applyBorder="1" applyAlignment="1">
      <alignment wrapText="1"/>
    </xf>
    <xf numFmtId="0" fontId="13" fillId="44" borderId="0" xfId="150" applyFill="1"/>
    <xf numFmtId="181" fontId="68" fillId="44" borderId="39" xfId="150" applyNumberFormat="1" applyFont="1" applyFill="1" applyBorder="1" applyAlignment="1">
      <alignment horizontal="center" vertical="center" wrapText="1"/>
    </xf>
    <xf numFmtId="0" fontId="68" fillId="44" borderId="39" xfId="150" applyFont="1" applyFill="1" applyBorder="1" applyAlignment="1">
      <alignment horizontal="center" vertical="center" wrapText="1"/>
    </xf>
    <xf numFmtId="0" fontId="68" fillId="44" borderId="39" xfId="150" applyFont="1" applyFill="1" applyBorder="1" applyAlignment="1">
      <alignment horizontal="left" vertical="center" wrapText="1"/>
    </xf>
    <xf numFmtId="0" fontId="70" fillId="44" borderId="39" xfId="150" applyFont="1" applyFill="1" applyBorder="1" applyAlignment="1">
      <alignment horizontal="center" vertical="center" wrapText="1"/>
    </xf>
    <xf numFmtId="0" fontId="68" fillId="36" borderId="24" xfId="150" applyFont="1" applyFill="1" applyBorder="1" applyAlignment="1">
      <alignment horizontal="left" vertical="center" wrapText="1"/>
    </xf>
    <xf numFmtId="0" fontId="68" fillId="43" borderId="24" xfId="150" applyFont="1" applyFill="1" applyBorder="1" applyAlignment="1">
      <alignment horizontal="center" vertical="center" wrapText="1"/>
    </xf>
    <xf numFmtId="0" fontId="13" fillId="45" borderId="0" xfId="150" applyFill="1"/>
    <xf numFmtId="0" fontId="68" fillId="39" borderId="24" xfId="150" applyFont="1" applyFill="1" applyBorder="1" applyAlignment="1">
      <alignment vertical="center" wrapText="1"/>
    </xf>
    <xf numFmtId="181" fontId="68" fillId="0" borderId="0" xfId="6" applyNumberFormat="1" applyFont="1" applyFill="1" applyBorder="1" applyAlignment="1">
      <alignment vertical="center" wrapText="1"/>
    </xf>
    <xf numFmtId="0" fontId="68" fillId="44" borderId="24" xfId="150" applyFont="1" applyFill="1" applyBorder="1" applyAlignment="1">
      <alignment horizontal="left" vertical="center" wrapText="1"/>
    </xf>
    <xf numFmtId="0" fontId="68" fillId="44" borderId="68" xfId="150" applyFont="1" applyFill="1" applyBorder="1" applyAlignment="1">
      <alignment horizontal="center" vertical="center" wrapText="1"/>
    </xf>
    <xf numFmtId="0" fontId="68" fillId="44" borderId="24" xfId="150" applyFont="1" applyFill="1" applyBorder="1" applyAlignment="1">
      <alignment horizontal="center" vertical="center" wrapText="1"/>
    </xf>
    <xf numFmtId="0" fontId="68" fillId="44" borderId="68" xfId="150" applyFont="1" applyFill="1" applyBorder="1" applyAlignment="1">
      <alignment horizontal="left" vertical="center" wrapText="1"/>
    </xf>
    <xf numFmtId="0" fontId="68" fillId="44" borderId="24" xfId="150" applyFont="1" applyFill="1" applyBorder="1" applyAlignment="1">
      <alignment vertical="center" wrapText="1"/>
    </xf>
    <xf numFmtId="0" fontId="70" fillId="41" borderId="24" xfId="150" applyFont="1" applyFill="1" applyBorder="1" applyAlignment="1">
      <alignment horizontal="center" vertical="center" wrapText="1"/>
    </xf>
    <xf numFmtId="0" fontId="70" fillId="0" borderId="0" xfId="150" applyFont="1" applyAlignment="1">
      <alignment horizontal="center" vertical="center" wrapText="1"/>
    </xf>
    <xf numFmtId="0" fontId="70" fillId="46" borderId="24" xfId="150" applyFont="1" applyFill="1" applyBorder="1" applyAlignment="1">
      <alignment horizontal="center" vertical="center" wrapText="1"/>
    </xf>
    <xf numFmtId="3" fontId="13" fillId="0" borderId="0" xfId="150" applyNumberFormat="1"/>
    <xf numFmtId="0" fontId="13" fillId="0" borderId="0" xfId="150" applyAlignment="1">
      <alignment horizontal="left"/>
    </xf>
    <xf numFmtId="0" fontId="13" fillId="0" borderId="0" xfId="150" applyAlignment="1">
      <alignment horizontal="left" indent="1"/>
    </xf>
    <xf numFmtId="0" fontId="13" fillId="0" borderId="0" xfId="150" pivotButton="1"/>
    <xf numFmtId="0" fontId="5" fillId="0" borderId="4" xfId="0" applyFont="1" applyBorder="1"/>
    <xf numFmtId="178" fontId="61" fillId="38" borderId="0" xfId="150" applyNumberFormat="1" applyFont="1" applyFill="1"/>
    <xf numFmtId="0" fontId="5" fillId="0" borderId="114" xfId="150" applyFont="1" applyBorder="1"/>
    <xf numFmtId="0" fontId="4" fillId="0" borderId="0" xfId="0" applyFont="1"/>
    <xf numFmtId="164" fontId="6" fillId="0" borderId="5" xfId="3" applyNumberFormat="1" applyFont="1" applyBorder="1" applyAlignment="1">
      <alignment horizontal="center" vertical="center"/>
    </xf>
    <xf numFmtId="0" fontId="4" fillId="0" borderId="6" xfId="0" applyFont="1" applyBorder="1"/>
    <xf numFmtId="0" fontId="4" fillId="0" borderId="7" xfId="0" applyFont="1" applyFill="1" applyBorder="1"/>
    <xf numFmtId="164" fontId="6" fillId="0" borderId="7" xfId="3" applyNumberFormat="1" applyFont="1" applyBorder="1" applyAlignment="1">
      <alignment horizontal="center" vertical="center"/>
    </xf>
    <xf numFmtId="164" fontId="6" fillId="0" borderId="8" xfId="3" applyNumberFormat="1" applyFont="1" applyBorder="1" applyAlignment="1">
      <alignment horizontal="center" vertical="center"/>
    </xf>
    <xf numFmtId="0" fontId="5" fillId="0" borderId="73" xfId="0" applyFont="1" applyBorder="1"/>
    <xf numFmtId="0" fontId="4" fillId="0" borderId="143" xfId="0" applyFont="1" applyBorder="1"/>
    <xf numFmtId="164" fontId="6" fillId="0" borderId="143" xfId="3" applyNumberFormat="1" applyFont="1" applyBorder="1" applyAlignment="1">
      <alignment horizontal="center" vertical="center"/>
    </xf>
    <xf numFmtId="0" fontId="6" fillId="0" borderId="4" xfId="0" applyFont="1" applyFill="1" applyBorder="1" applyAlignment="1">
      <alignment horizontal="left" vertical="center"/>
    </xf>
    <xf numFmtId="0" fontId="6" fillId="0" borderId="31" xfId="0" applyFont="1" applyFill="1" applyBorder="1" applyAlignment="1">
      <alignment horizontal="left" vertical="center"/>
    </xf>
    <xf numFmtId="2" fontId="14" fillId="0" borderId="0" xfId="0" applyNumberFormat="1" applyFont="1" applyFill="1" applyBorder="1" applyAlignment="1">
      <alignment horizontal="right"/>
    </xf>
    <xf numFmtId="2" fontId="14" fillId="0" borderId="44" xfId="0" applyNumberFormat="1" applyFont="1" applyFill="1" applyBorder="1" applyAlignment="1">
      <alignment horizontal="right"/>
    </xf>
    <xf numFmtId="168" fontId="6" fillId="0" borderId="77" xfId="1" applyNumberFormat="1" applyFont="1" applyFill="1" applyBorder="1" applyAlignment="1">
      <alignment horizontal="center" vertical="center"/>
    </xf>
    <xf numFmtId="168" fontId="6" fillId="0" borderId="37" xfId="1" applyNumberFormat="1" applyFont="1" applyFill="1" applyBorder="1" applyAlignment="1">
      <alignment horizontal="center" vertical="center"/>
    </xf>
    <xf numFmtId="41" fontId="2" fillId="0" borderId="76" xfId="1" applyFont="1" applyFill="1" applyBorder="1" applyAlignment="1">
      <alignment horizontal="center" vertical="center"/>
    </xf>
    <xf numFmtId="41" fontId="2" fillId="0" borderId="39" xfId="1" applyFont="1" applyFill="1" applyBorder="1" applyAlignment="1">
      <alignment horizontal="center" vertical="center"/>
    </xf>
    <xf numFmtId="168" fontId="2" fillId="0" borderId="39" xfId="1" applyNumberFormat="1" applyFont="1" applyFill="1" applyBorder="1" applyAlignment="1">
      <alignment horizontal="center" vertical="center"/>
    </xf>
    <xf numFmtId="0" fontId="4" fillId="0" borderId="73" xfId="0" applyFont="1" applyBorder="1"/>
    <xf numFmtId="164" fontId="6" fillId="0" borderId="148" xfId="3" applyNumberFormat="1" applyFont="1" applyBorder="1" applyAlignment="1">
      <alignment horizontal="center" vertical="center"/>
    </xf>
    <xf numFmtId="0" fontId="71" fillId="0" borderId="0" xfId="149" applyFont="1" applyBorder="1"/>
    <xf numFmtId="9" fontId="71" fillId="0" borderId="44" xfId="149" applyNumberFormat="1" applyFont="1" applyBorder="1"/>
    <xf numFmtId="0" fontId="71" fillId="0" borderId="42" xfId="149" applyFont="1" applyBorder="1" applyAlignment="1">
      <alignment horizontal="left" wrapText="1"/>
    </xf>
    <xf numFmtId="9" fontId="71" fillId="0" borderId="16" xfId="149" applyNumberFormat="1" applyFont="1" applyBorder="1"/>
    <xf numFmtId="0" fontId="71" fillId="0" borderId="31" xfId="149" applyFont="1" applyBorder="1" applyAlignment="1">
      <alignment horizontal="left" wrapText="1"/>
    </xf>
    <xf numFmtId="0" fontId="73" fillId="0" borderId="0" xfId="149" applyFont="1" applyBorder="1"/>
    <xf numFmtId="0" fontId="74" fillId="0" borderId="0" xfId="149" applyFont="1" applyBorder="1"/>
    <xf numFmtId="0" fontId="74" fillId="0" borderId="16" xfId="149" applyFont="1" applyBorder="1"/>
    <xf numFmtId="0" fontId="74" fillId="0" borderId="0" xfId="149" applyFont="1" applyBorder="1" applyAlignment="1">
      <alignment vertical="center" wrapText="1"/>
    </xf>
    <xf numFmtId="0" fontId="74" fillId="0" borderId="11" xfId="149" applyFont="1" applyBorder="1" applyAlignment="1">
      <alignment vertical="center" wrapText="1"/>
    </xf>
    <xf numFmtId="0" fontId="74" fillId="0" borderId="9" xfId="149" applyFont="1" applyBorder="1" applyAlignment="1">
      <alignment vertical="center" wrapText="1"/>
    </xf>
    <xf numFmtId="0" fontId="72" fillId="0" borderId="0" xfId="149" applyFont="1"/>
    <xf numFmtId="0" fontId="46" fillId="0" borderId="0" xfId="149" applyFont="1" applyBorder="1"/>
    <xf numFmtId="0" fontId="71" fillId="0" borderId="0" xfId="149" applyFont="1" applyFill="1" applyBorder="1"/>
    <xf numFmtId="0" fontId="46" fillId="0" borderId="0" xfId="149" applyFont="1" applyFill="1" applyBorder="1"/>
    <xf numFmtId="0" fontId="46" fillId="0" borderId="0" xfId="187" applyFont="1" applyFill="1" applyBorder="1"/>
    <xf numFmtId="3" fontId="75" fillId="0" borderId="0" xfId="248" applyNumberFormat="1" applyFont="1" applyFill="1" applyBorder="1"/>
    <xf numFmtId="9" fontId="75" fillId="0" borderId="0" xfId="248" applyNumberFormat="1" applyFont="1" applyFill="1" applyBorder="1"/>
    <xf numFmtId="9" fontId="75" fillId="0" borderId="0" xfId="204" applyFont="1" applyFill="1" applyBorder="1" applyAlignment="1"/>
    <xf numFmtId="3" fontId="75" fillId="0" borderId="0" xfId="248" applyNumberFormat="1" applyFont="1" applyFill="1" applyBorder="1" applyAlignment="1"/>
    <xf numFmtId="184" fontId="75" fillId="0" borderId="0" xfId="249" applyNumberFormat="1" applyFont="1" applyFill="1" applyBorder="1"/>
    <xf numFmtId="3" fontId="46" fillId="0" borderId="0" xfId="187" applyNumberFormat="1" applyFont="1" applyFill="1" applyBorder="1"/>
    <xf numFmtId="176" fontId="76" fillId="0" borderId="17" xfId="1" applyNumberFormat="1" applyFont="1" applyFill="1" applyBorder="1" applyAlignment="1">
      <alignment horizontal="center" vertical="center"/>
    </xf>
    <xf numFmtId="176" fontId="76" fillId="0" borderId="7" xfId="1" applyNumberFormat="1" applyFont="1" applyFill="1" applyBorder="1" applyAlignment="1">
      <alignment horizontal="center" vertical="center"/>
    </xf>
    <xf numFmtId="176" fontId="76" fillId="0" borderId="147" xfId="1" applyNumberFormat="1" applyFont="1" applyFill="1" applyBorder="1" applyAlignment="1">
      <alignment horizontal="center" vertical="center"/>
    </xf>
    <xf numFmtId="176" fontId="76" fillId="0" borderId="71" xfId="1" applyNumberFormat="1" applyFont="1" applyFill="1" applyBorder="1" applyAlignment="1">
      <alignment horizontal="center" vertical="center"/>
    </xf>
    <xf numFmtId="176" fontId="76" fillId="0" borderId="137" xfId="1" applyNumberFormat="1" applyFont="1" applyFill="1" applyBorder="1" applyAlignment="1">
      <alignment horizontal="center" vertical="center"/>
    </xf>
    <xf numFmtId="0" fontId="76" fillId="0" borderId="6" xfId="250" applyFont="1" applyFill="1" applyBorder="1" applyAlignment="1">
      <alignment horizontal="center" vertical="center"/>
    </xf>
    <xf numFmtId="170" fontId="75" fillId="0" borderId="0" xfId="248" applyNumberFormat="1" applyFont="1" applyFill="1" applyBorder="1" applyAlignment="1">
      <alignment horizontal="center" vertical="center"/>
    </xf>
    <xf numFmtId="9" fontId="75" fillId="0" borderId="76" xfId="248" applyNumberFormat="1" applyFont="1" applyFill="1" applyBorder="1" applyAlignment="1">
      <alignment horizontal="center" vertical="center"/>
    </xf>
    <xf numFmtId="9" fontId="75" fillId="0" borderId="0" xfId="248" applyNumberFormat="1" applyFont="1" applyFill="1" applyBorder="1" applyAlignment="1">
      <alignment horizontal="center" vertical="center"/>
    </xf>
    <xf numFmtId="9" fontId="75" fillId="0" borderId="144" xfId="248" applyNumberFormat="1" applyFont="1" applyFill="1" applyBorder="1" applyAlignment="1">
      <alignment horizontal="center" vertical="center"/>
    </xf>
    <xf numFmtId="170" fontId="75" fillId="0" borderId="39" xfId="248" applyNumberFormat="1" applyFont="1" applyFill="1" applyBorder="1" applyAlignment="1">
      <alignment horizontal="center" vertical="center"/>
    </xf>
    <xf numFmtId="9" fontId="75" fillId="0" borderId="124" xfId="248" applyNumberFormat="1" applyFont="1" applyFill="1" applyBorder="1" applyAlignment="1">
      <alignment horizontal="center" vertical="center"/>
    </xf>
    <xf numFmtId="9" fontId="75" fillId="0" borderId="39" xfId="248" applyNumberFormat="1" applyFont="1" applyFill="1" applyBorder="1" applyAlignment="1">
      <alignment horizontal="center" vertical="center"/>
    </xf>
    <xf numFmtId="9" fontId="76" fillId="0" borderId="39" xfId="248" applyNumberFormat="1" applyFont="1" applyFill="1" applyBorder="1" applyAlignment="1">
      <alignment horizontal="center" vertical="center"/>
    </xf>
    <xf numFmtId="0" fontId="76" fillId="0" borderId="4" xfId="250" applyFont="1" applyFill="1" applyBorder="1" applyAlignment="1">
      <alignment horizontal="center" vertical="center"/>
    </xf>
    <xf numFmtId="9" fontId="76" fillId="0" borderId="0" xfId="205" applyFont="1" applyFill="1" applyBorder="1" applyAlignment="1">
      <alignment horizontal="center" vertical="center"/>
    </xf>
    <xf numFmtId="3" fontId="76" fillId="4" borderId="16" xfId="248" applyNumberFormat="1" applyFont="1" applyFill="1" applyBorder="1" applyAlignment="1">
      <alignment horizontal="center" vertical="center"/>
    </xf>
    <xf numFmtId="3" fontId="76" fillId="4" borderId="13" xfId="248" applyNumberFormat="1" applyFont="1" applyFill="1" applyBorder="1" applyAlignment="1">
      <alignment horizontal="center" vertical="center"/>
    </xf>
    <xf numFmtId="3" fontId="76" fillId="4" borderId="32" xfId="248" quotePrefix="1" applyNumberFormat="1" applyFont="1" applyFill="1" applyBorder="1" applyAlignment="1">
      <alignment horizontal="center" vertical="center"/>
    </xf>
    <xf numFmtId="3" fontId="76" fillId="4" borderId="24" xfId="248" quotePrefix="1" applyNumberFormat="1" applyFont="1" applyFill="1" applyBorder="1" applyAlignment="1">
      <alignment horizontal="center" vertical="center"/>
    </xf>
    <xf numFmtId="3" fontId="76" fillId="4" borderId="18" xfId="248" quotePrefix="1" applyNumberFormat="1" applyFont="1" applyFill="1" applyBorder="1" applyAlignment="1">
      <alignment horizontal="center" vertical="center"/>
    </xf>
    <xf numFmtId="9" fontId="76" fillId="4" borderId="13" xfId="204" quotePrefix="1" applyFont="1" applyFill="1" applyBorder="1" applyAlignment="1">
      <alignment horizontal="center" vertical="center"/>
    </xf>
    <xf numFmtId="3" fontId="76" fillId="4" borderId="13" xfId="248" quotePrefix="1" applyNumberFormat="1" applyFont="1" applyFill="1" applyBorder="1" applyAlignment="1">
      <alignment horizontal="center" vertical="center"/>
    </xf>
    <xf numFmtId="3" fontId="76" fillId="0" borderId="0" xfId="248" applyNumberFormat="1" applyFont="1" applyFill="1" applyBorder="1" applyAlignment="1">
      <alignment horizontal="right"/>
    </xf>
    <xf numFmtId="170" fontId="76" fillId="0" borderId="0" xfId="248" applyNumberFormat="1" applyFont="1" applyFill="1" applyBorder="1" applyAlignment="1">
      <alignment horizontal="right"/>
    </xf>
    <xf numFmtId="0" fontId="46" fillId="0" borderId="0" xfId="187" applyFont="1" applyBorder="1"/>
    <xf numFmtId="9" fontId="76" fillId="4" borderId="142" xfId="204" applyFont="1" applyFill="1" applyBorder="1" applyAlignment="1">
      <alignment horizontal="center" vertical="center"/>
    </xf>
    <xf numFmtId="3" fontId="76" fillId="4" borderId="73" xfId="248" applyNumberFormat="1" applyFont="1" applyFill="1" applyBorder="1" applyAlignment="1">
      <alignment horizontal="center" vertical="center"/>
    </xf>
    <xf numFmtId="3" fontId="77" fillId="0" borderId="0" xfId="248" applyNumberFormat="1" applyFont="1" applyFill="1" applyBorder="1" applyAlignment="1">
      <alignment horizontal="right"/>
    </xf>
    <xf numFmtId="176" fontId="76" fillId="0" borderId="0" xfId="1" applyNumberFormat="1" applyFont="1" applyFill="1" applyBorder="1" applyAlignment="1">
      <alignment horizontal="right"/>
    </xf>
    <xf numFmtId="3" fontId="75" fillId="0" borderId="6" xfId="248" applyNumberFormat="1" applyFont="1" applyFill="1" applyBorder="1" applyAlignment="1">
      <alignment horizontal="left"/>
    </xf>
    <xf numFmtId="3" fontId="75" fillId="0" borderId="4" xfId="248" applyNumberFormat="1" applyFont="1" applyFill="1" applyBorder="1" applyAlignment="1">
      <alignment horizontal="left"/>
    </xf>
    <xf numFmtId="0" fontId="74" fillId="0" borderId="0" xfId="149" applyFont="1" applyBorder="1" applyAlignment="1">
      <alignment horizontal="center"/>
    </xf>
    <xf numFmtId="3" fontId="76" fillId="0" borderId="0" xfId="248" applyNumberFormat="1" applyFont="1" applyFill="1" applyBorder="1" applyAlignment="1">
      <alignment horizontal="center"/>
    </xf>
    <xf numFmtId="3" fontId="78" fillId="0" borderId="4" xfId="248" applyNumberFormat="1" applyFont="1" applyFill="1" applyBorder="1" applyAlignment="1">
      <alignment horizontal="left"/>
    </xf>
    <xf numFmtId="0" fontId="46" fillId="0" borderId="5" xfId="187" applyFont="1" applyBorder="1"/>
    <xf numFmtId="3" fontId="75" fillId="0" borderId="0" xfId="248" applyNumberFormat="1" applyFont="1" applyFill="1" applyBorder="1" applyAlignment="1">
      <alignment horizontal="right"/>
    </xf>
    <xf numFmtId="3" fontId="76" fillId="0" borderId="4" xfId="248" applyNumberFormat="1" applyFont="1" applyFill="1" applyBorder="1"/>
    <xf numFmtId="0" fontId="5" fillId="0" borderId="0" xfId="149" applyFont="1" applyBorder="1"/>
    <xf numFmtId="0" fontId="79" fillId="0" borderId="0" xfId="149" applyFont="1" applyBorder="1"/>
    <xf numFmtId="0" fontId="79" fillId="4" borderId="3" xfId="183" applyFont="1" applyFill="1" applyBorder="1" applyAlignment="1">
      <alignment horizontal="center" vertical="center" wrapText="1"/>
    </xf>
    <xf numFmtId="0" fontId="79" fillId="4" borderId="2" xfId="183" applyFont="1" applyFill="1" applyBorder="1" applyAlignment="1">
      <alignment horizontal="center" vertical="center" wrapText="1"/>
    </xf>
    <xf numFmtId="0" fontId="79" fillId="4" borderId="1" xfId="183" applyFont="1" applyFill="1" applyBorder="1" applyAlignment="1">
      <alignment horizontal="center" vertical="center" wrapText="1"/>
    </xf>
    <xf numFmtId="0" fontId="78" fillId="0" borderId="0" xfId="252" applyFont="1" applyFill="1" applyBorder="1" applyAlignment="1"/>
    <xf numFmtId="0" fontId="80" fillId="0" borderId="4" xfId="0" applyFont="1" applyBorder="1" applyAlignment="1">
      <alignment horizontal="right"/>
    </xf>
    <xf numFmtId="3" fontId="75" fillId="0" borderId="5" xfId="248" applyNumberFormat="1" applyFont="1" applyFill="1" applyBorder="1"/>
    <xf numFmtId="0" fontId="5" fillId="0" borderId="2" xfId="0" applyFont="1" applyBorder="1"/>
    <xf numFmtId="0" fontId="5" fillId="0" borderId="0" xfId="0" applyFont="1"/>
    <xf numFmtId="0" fontId="5" fillId="0" borderId="2" xfId="0" applyFont="1" applyBorder="1" applyAlignment="1">
      <alignment horizontal="center"/>
    </xf>
    <xf numFmtId="0" fontId="5" fillId="0" borderId="3" xfId="0" applyFont="1" applyBorder="1" applyAlignment="1">
      <alignment horizontal="center"/>
    </xf>
    <xf numFmtId="0" fontId="0" fillId="0" borderId="7" xfId="0" applyBorder="1"/>
    <xf numFmtId="0" fontId="0" fillId="0" borderId="8" xfId="0" applyBorder="1"/>
    <xf numFmtId="0" fontId="70" fillId="0" borderId="39" xfId="150" applyFont="1" applyBorder="1" applyAlignment="1">
      <alignment horizontal="center" vertical="center" wrapText="1"/>
    </xf>
    <xf numFmtId="0" fontId="70" fillId="0" borderId="145" xfId="150" applyFont="1" applyBorder="1" applyAlignment="1">
      <alignment horizontal="center" vertical="center" wrapText="1"/>
    </xf>
    <xf numFmtId="0" fontId="70" fillId="39" borderId="68" xfId="150" applyFont="1" applyFill="1" applyBorder="1" applyAlignment="1">
      <alignment horizontal="center" vertical="center" wrapText="1"/>
    </xf>
    <xf numFmtId="0" fontId="70" fillId="0" borderId="24" xfId="150" applyFont="1" applyBorder="1" applyAlignment="1">
      <alignment horizontal="center" vertical="center" wrapText="1"/>
    </xf>
    <xf numFmtId="0" fontId="68" fillId="36" borderId="68" xfId="150" applyFont="1" applyFill="1" applyBorder="1" applyAlignment="1">
      <alignment horizontal="center" vertical="center" wrapText="1"/>
    </xf>
    <xf numFmtId="0" fontId="55" fillId="0" borderId="24" xfId="150" applyFont="1" applyBorder="1" applyAlignment="1">
      <alignment horizontal="center"/>
    </xf>
    <xf numFmtId="0" fontId="57" fillId="0" borderId="68" xfId="150" applyFont="1" applyBorder="1" applyAlignment="1">
      <alignment horizontal="center" vertical="center"/>
    </xf>
    <xf numFmtId="0" fontId="57" fillId="34" borderId="68" xfId="150" applyFont="1" applyFill="1" applyBorder="1" applyAlignment="1">
      <alignment horizontal="center" vertical="center"/>
    </xf>
    <xf numFmtId="0" fontId="58" fillId="36" borderId="68" xfId="150" applyFont="1" applyFill="1" applyBorder="1" applyAlignment="1">
      <alignment horizontal="center" vertical="center" wrapText="1"/>
    </xf>
    <xf numFmtId="164" fontId="0" fillId="0" borderId="0" xfId="0" applyNumberFormat="1"/>
    <xf numFmtId="168" fontId="56" fillId="0" borderId="0" xfId="253" applyNumberFormat="1" applyFont="1" applyFill="1" applyBorder="1" applyAlignment="1">
      <alignment horizontal="left" vertical="top" wrapText="1"/>
    </xf>
    <xf numFmtId="0" fontId="57" fillId="0" borderId="0" xfId="150" applyFont="1" applyAlignment="1">
      <alignment horizontal="right"/>
    </xf>
    <xf numFmtId="9" fontId="57" fillId="0" borderId="24" xfId="6" applyFont="1" applyBorder="1" applyAlignment="1">
      <alignment horizontal="center" vertical="center" wrapText="1"/>
    </xf>
    <xf numFmtId="0" fontId="55" fillId="0" borderId="24" xfId="150" applyFont="1" applyBorder="1" applyAlignment="1">
      <alignment wrapText="1"/>
    </xf>
    <xf numFmtId="0" fontId="55" fillId="0" borderId="24" xfId="150" applyFont="1" applyBorder="1" applyAlignment="1">
      <alignment horizontal="center" vertical="center"/>
    </xf>
    <xf numFmtId="0" fontId="60" fillId="37" borderId="24" xfId="150" applyFont="1" applyFill="1" applyBorder="1" applyAlignment="1">
      <alignment horizontal="center" vertical="center"/>
    </xf>
    <xf numFmtId="178" fontId="58" fillId="37" borderId="18" xfId="150" applyNumberFormat="1" applyFont="1" applyFill="1" applyBorder="1" applyAlignment="1">
      <alignment horizontal="center" vertical="center" wrapText="1"/>
    </xf>
    <xf numFmtId="3" fontId="60" fillId="37" borderId="24" xfId="150" applyNumberFormat="1" applyFont="1" applyFill="1" applyBorder="1" applyAlignment="1">
      <alignment horizontal="center" vertical="center" wrapText="1"/>
    </xf>
    <xf numFmtId="176" fontId="60" fillId="37" borderId="24" xfId="150" applyNumberFormat="1" applyFont="1" applyFill="1" applyBorder="1" applyAlignment="1">
      <alignment horizontal="center" vertical="center"/>
    </xf>
    <xf numFmtId="168" fontId="60" fillId="37" borderId="24" xfId="150" applyNumberFormat="1" applyFont="1" applyFill="1" applyBorder="1" applyAlignment="1">
      <alignment horizontal="center" vertical="center"/>
    </xf>
    <xf numFmtId="0" fontId="58" fillId="37" borderId="24" xfId="150" applyFont="1" applyFill="1" applyBorder="1" applyAlignment="1">
      <alignment horizontal="center" vertical="center" wrapText="1"/>
    </xf>
    <xf numFmtId="174" fontId="61" fillId="38" borderId="0" xfId="254" applyNumberFormat="1" applyFont="1" applyFill="1"/>
    <xf numFmtId="0" fontId="60" fillId="37" borderId="24" xfId="150" applyFont="1" applyFill="1" applyBorder="1" applyAlignment="1">
      <alignment horizontal="center"/>
    </xf>
    <xf numFmtId="3" fontId="55" fillId="0" borderId="24" xfId="150" applyNumberFormat="1" applyFont="1" applyBorder="1" applyAlignment="1">
      <alignment horizontal="center" vertical="center"/>
    </xf>
    <xf numFmtId="178" fontId="58" fillId="0" borderId="18" xfId="150" applyNumberFormat="1" applyFont="1" applyBorder="1" applyAlignment="1">
      <alignment horizontal="center" vertical="center" wrapText="1"/>
    </xf>
    <xf numFmtId="3" fontId="60" fillId="0" borderId="24" xfId="150" applyNumberFormat="1" applyFont="1" applyBorder="1" applyAlignment="1">
      <alignment horizontal="center" vertical="center" wrapText="1"/>
    </xf>
    <xf numFmtId="168" fontId="60" fillId="0" borderId="24" xfId="150" applyNumberFormat="1" applyFont="1" applyBorder="1" applyAlignment="1">
      <alignment horizontal="center" vertical="center"/>
    </xf>
    <xf numFmtId="0" fontId="58" fillId="0" borderId="24" xfId="150" applyFont="1" applyBorder="1" applyAlignment="1">
      <alignment horizontal="left" vertical="center" wrapText="1"/>
    </xf>
    <xf numFmtId="0" fontId="58" fillId="0" borderId="24" xfId="150" applyFont="1" applyBorder="1" applyAlignment="1">
      <alignment horizontal="center" vertical="center" wrapText="1"/>
    </xf>
    <xf numFmtId="178" fontId="60" fillId="0" borderId="18" xfId="150" applyNumberFormat="1" applyFont="1" applyBorder="1" applyAlignment="1">
      <alignment horizontal="center" vertical="center" wrapText="1"/>
    </xf>
    <xf numFmtId="179" fontId="61" fillId="38" borderId="0" xfId="255" applyNumberFormat="1" applyFont="1" applyFill="1"/>
    <xf numFmtId="0" fontId="60" fillId="0" borderId="24" xfId="150" applyFont="1" applyBorder="1" applyAlignment="1">
      <alignment horizontal="center" vertical="center"/>
    </xf>
    <xf numFmtId="0" fontId="58" fillId="0" borderId="68" xfId="150" applyFont="1" applyBorder="1" applyAlignment="1">
      <alignment horizontal="center" vertical="center" wrapText="1"/>
    </xf>
    <xf numFmtId="0" fontId="55" fillId="0" borderId="18" xfId="150" applyFont="1" applyBorder="1" applyAlignment="1">
      <alignment horizontal="center" vertical="center" wrapText="1"/>
    </xf>
    <xf numFmtId="0" fontId="55" fillId="0" borderId="24" xfId="150" applyFont="1" applyBorder="1" applyAlignment="1">
      <alignment horizontal="center" vertical="center" wrapText="1"/>
    </xf>
    <xf numFmtId="0" fontId="55" fillId="0" borderId="18" xfId="150" applyFont="1" applyBorder="1" applyAlignment="1">
      <alignment horizontal="center" wrapText="1"/>
    </xf>
    <xf numFmtId="0" fontId="55" fillId="0" borderId="0" xfId="150" applyFont="1" applyAlignment="1">
      <alignment horizontal="center"/>
    </xf>
    <xf numFmtId="178" fontId="55" fillId="0" borderId="24" xfId="150" applyNumberFormat="1" applyFont="1" applyBorder="1" applyAlignment="1">
      <alignment horizontal="center" vertical="center" wrapText="1"/>
    </xf>
    <xf numFmtId="0" fontId="60" fillId="0" borderId="0" xfId="150" applyFont="1" applyAlignment="1">
      <alignment vertical="center" wrapText="1"/>
    </xf>
    <xf numFmtId="176" fontId="57" fillId="38" borderId="13" xfId="150" applyNumberFormat="1" applyFont="1" applyFill="1" applyBorder="1" applyAlignment="1">
      <alignment vertical="center" wrapText="1"/>
    </xf>
    <xf numFmtId="0" fontId="60" fillId="0" borderId="24" xfId="150" applyFont="1" applyBorder="1" applyAlignment="1">
      <alignment horizontal="center" vertical="center" wrapText="1"/>
    </xf>
    <xf numFmtId="0" fontId="58" fillId="34" borderId="24" xfId="150" applyFont="1" applyFill="1" applyBorder="1" applyAlignment="1">
      <alignment horizontal="center" vertical="center" wrapText="1"/>
    </xf>
    <xf numFmtId="178" fontId="57" fillId="37" borderId="18" xfId="150" applyNumberFormat="1" applyFont="1" applyFill="1" applyBorder="1" applyAlignment="1">
      <alignment horizontal="center" vertical="center" wrapText="1"/>
    </xf>
    <xf numFmtId="0" fontId="58" fillId="0" borderId="0" xfId="150" applyFont="1" applyAlignment="1">
      <alignment horizontal="center" vertical="center" wrapText="1"/>
    </xf>
    <xf numFmtId="179" fontId="55" fillId="0" borderId="0" xfId="255" applyNumberFormat="1" applyFont="1"/>
    <xf numFmtId="0" fontId="55" fillId="0" borderId="0" xfId="150" applyFont="1" applyAlignment="1">
      <alignment vertical="center" wrapText="1"/>
    </xf>
    <xf numFmtId="178" fontId="58" fillId="0" borderId="0" xfId="150" applyNumberFormat="1" applyFont="1" applyAlignment="1">
      <alignment horizontal="center" vertical="center" wrapText="1"/>
    </xf>
    <xf numFmtId="3" fontId="60" fillId="0" borderId="0" xfId="150" applyNumberFormat="1" applyFont="1" applyAlignment="1">
      <alignment horizontal="center" vertical="center" wrapText="1"/>
    </xf>
    <xf numFmtId="168" fontId="60" fillId="0" borderId="0" xfId="150" applyNumberFormat="1" applyFont="1" applyAlignment="1">
      <alignment horizontal="center" vertical="center" wrapText="1"/>
    </xf>
    <xf numFmtId="0" fontId="55" fillId="0" borderId="0" xfId="150" applyFont="1" applyAlignment="1">
      <alignment horizontal="left" vertical="center" wrapText="1"/>
    </xf>
    <xf numFmtId="0" fontId="57" fillId="0" borderId="0" xfId="150" applyFont="1" applyAlignment="1">
      <alignment horizontal="center" vertical="center"/>
    </xf>
    <xf numFmtId="168" fontId="60" fillId="0" borderId="24" xfId="150" applyNumberFormat="1" applyFont="1" applyBorder="1" applyAlignment="1">
      <alignment horizontal="center" vertical="center" wrapText="1"/>
    </xf>
    <xf numFmtId="0" fontId="81" fillId="37" borderId="24" xfId="150" applyFont="1" applyFill="1" applyBorder="1" applyAlignment="1">
      <alignment horizontal="center"/>
    </xf>
    <xf numFmtId="3" fontId="60" fillId="37" borderId="68" xfId="150" applyNumberFormat="1" applyFont="1" applyFill="1" applyBorder="1" applyAlignment="1">
      <alignment horizontal="center" vertical="center" wrapText="1"/>
    </xf>
    <xf numFmtId="168" fontId="60" fillId="37" borderId="68" xfId="150" applyNumberFormat="1" applyFont="1" applyFill="1" applyBorder="1" applyAlignment="1">
      <alignment horizontal="center" vertical="center" wrapText="1"/>
    </xf>
    <xf numFmtId="0" fontId="58" fillId="37" borderId="24" xfId="150" applyFont="1" applyFill="1" applyBorder="1" applyAlignment="1">
      <alignment horizontal="center" vertical="center"/>
    </xf>
    <xf numFmtId="178" fontId="58" fillId="0" borderId="24" xfId="150" applyNumberFormat="1" applyFont="1" applyBorder="1" applyAlignment="1">
      <alignment horizontal="center" vertical="center" wrapText="1"/>
    </xf>
    <xf numFmtId="178" fontId="58" fillId="0" borderId="13" xfId="150" applyNumberFormat="1" applyFont="1" applyBorder="1" applyAlignment="1">
      <alignment horizontal="center" vertical="center" wrapText="1"/>
    </xf>
    <xf numFmtId="3" fontId="60" fillId="0" borderId="139" xfId="150" applyNumberFormat="1" applyFont="1" applyBorder="1" applyAlignment="1">
      <alignment horizontal="center" vertical="center" wrapText="1"/>
    </xf>
    <xf numFmtId="168" fontId="60" fillId="0" borderId="139" xfId="150" applyNumberFormat="1" applyFont="1" applyBorder="1" applyAlignment="1">
      <alignment horizontal="center" vertical="center" wrapText="1"/>
    </xf>
    <xf numFmtId="168" fontId="60" fillId="0" borderId="0" xfId="150" applyNumberFormat="1" applyFont="1" applyAlignment="1">
      <alignment horizontal="center" vertical="center"/>
    </xf>
    <xf numFmtId="181" fontId="5" fillId="0" borderId="114" xfId="150" applyNumberFormat="1" applyFont="1" applyBorder="1"/>
    <xf numFmtId="0" fontId="13" fillId="0" borderId="114" xfId="150" applyBorder="1"/>
    <xf numFmtId="181" fontId="13" fillId="36" borderId="24" xfId="150" applyNumberFormat="1" applyFill="1" applyBorder="1"/>
    <xf numFmtId="0" fontId="5" fillId="36" borderId="24" xfId="150" applyFont="1" applyFill="1" applyBorder="1"/>
    <xf numFmtId="0" fontId="13" fillId="36" borderId="0" xfId="150" applyFill="1"/>
    <xf numFmtId="0" fontId="68" fillId="36" borderId="0" xfId="150" applyFont="1" applyFill="1"/>
    <xf numFmtId="181" fontId="0" fillId="36" borderId="0" xfId="256" applyNumberFormat="1" applyFont="1" applyFill="1"/>
    <xf numFmtId="181" fontId="0" fillId="36" borderId="24" xfId="256" applyNumberFormat="1" applyFont="1" applyFill="1" applyBorder="1"/>
    <xf numFmtId="0" fontId="5" fillId="0" borderId="0" xfId="150" applyFont="1" applyAlignment="1">
      <alignment horizontal="center"/>
    </xf>
    <xf numFmtId="181" fontId="5" fillId="0" borderId="0" xfId="150" applyNumberFormat="1" applyFont="1"/>
    <xf numFmtId="168" fontId="68" fillId="0" borderId="0" xfId="150" applyNumberFormat="1" applyFont="1"/>
    <xf numFmtId="168" fontId="13" fillId="0" borderId="0" xfId="150" applyNumberFormat="1"/>
    <xf numFmtId="181" fontId="0" fillId="0" borderId="142" xfId="256" applyNumberFormat="1" applyFont="1" applyFill="1" applyBorder="1"/>
    <xf numFmtId="0" fontId="5" fillId="0" borderId="105" xfId="150" applyFont="1" applyBorder="1" applyAlignment="1">
      <alignment wrapText="1"/>
    </xf>
    <xf numFmtId="181" fontId="0" fillId="0" borderId="144" xfId="256" applyNumberFormat="1" applyFont="1" applyFill="1" applyBorder="1"/>
    <xf numFmtId="0" fontId="5" fillId="0" borderId="124" xfId="150" applyFont="1" applyBorder="1" applyAlignment="1">
      <alignment wrapText="1"/>
    </xf>
    <xf numFmtId="181" fontId="0" fillId="0" borderId="145" xfId="256" applyNumberFormat="1" applyFont="1" applyBorder="1"/>
    <xf numFmtId="181" fontId="13" fillId="0" borderId="142" xfId="150" applyNumberFormat="1" applyFill="1" applyBorder="1"/>
    <xf numFmtId="181" fontId="13" fillId="0" borderId="143" xfId="150" applyNumberFormat="1" applyFill="1" applyBorder="1"/>
    <xf numFmtId="181" fontId="13" fillId="0" borderId="144" xfId="150" applyNumberFormat="1" applyFill="1" applyBorder="1"/>
    <xf numFmtId="181" fontId="13" fillId="0" borderId="0" xfId="150" applyNumberFormat="1" applyFill="1" applyBorder="1"/>
    <xf numFmtId="181" fontId="13" fillId="47" borderId="144" xfId="150" applyNumberFormat="1" applyFill="1" applyBorder="1"/>
    <xf numFmtId="181" fontId="13" fillId="47" borderId="0" xfId="150" applyNumberFormat="1" applyFill="1"/>
    <xf numFmtId="3" fontId="68" fillId="0" borderId="0" xfId="150" applyNumberFormat="1" applyFont="1"/>
    <xf numFmtId="181" fontId="0" fillId="0" borderId="0" xfId="256" applyNumberFormat="1" applyFont="1" applyFill="1"/>
    <xf numFmtId="181" fontId="68" fillId="0" borderId="0" xfId="256" applyNumberFormat="1" applyFont="1" applyFill="1" applyBorder="1" applyAlignment="1">
      <alignment vertical="center" wrapText="1"/>
    </xf>
    <xf numFmtId="181" fontId="69" fillId="42" borderId="24" xfId="256" applyNumberFormat="1" applyFont="1" applyFill="1" applyBorder="1" applyAlignment="1">
      <alignment wrapText="1"/>
    </xf>
    <xf numFmtId="181" fontId="70" fillId="0" borderId="0" xfId="256" applyNumberFormat="1" applyFont="1" applyFill="1" applyBorder="1" applyAlignment="1">
      <alignment horizontal="center" vertical="center" wrapText="1"/>
    </xf>
    <xf numFmtId="181" fontId="68" fillId="36" borderId="24" xfId="256" applyNumberFormat="1" applyFont="1" applyFill="1" applyBorder="1" applyAlignment="1">
      <alignment horizontal="center" wrapText="1"/>
    </xf>
    <xf numFmtId="0" fontId="70" fillId="0" borderId="139" xfId="150" applyFont="1" applyBorder="1" applyAlignment="1">
      <alignment horizontal="center" vertical="center" wrapText="1"/>
    </xf>
    <xf numFmtId="183" fontId="68" fillId="0" borderId="0" xfId="256" applyNumberFormat="1" applyFont="1" applyFill="1" applyBorder="1" applyAlignment="1">
      <alignment vertical="center" wrapText="1"/>
    </xf>
    <xf numFmtId="181" fontId="68" fillId="0" borderId="0" xfId="256" applyNumberFormat="1" applyFont="1" applyFill="1" applyBorder="1" applyAlignment="1">
      <alignment horizontal="center" vertical="center" wrapText="1"/>
    </xf>
    <xf numFmtId="181" fontId="68" fillId="39" borderId="24" xfId="256" applyNumberFormat="1" applyFont="1" applyFill="1" applyBorder="1" applyAlignment="1">
      <alignment horizontal="center" vertical="center" wrapText="1"/>
    </xf>
    <xf numFmtId="0" fontId="70" fillId="39" borderId="139" xfId="150" applyFont="1" applyFill="1" applyBorder="1" applyAlignment="1">
      <alignment horizontal="center" vertical="center" wrapText="1"/>
    </xf>
    <xf numFmtId="181" fontId="68" fillId="36" borderId="68" xfId="256" applyNumberFormat="1" applyFont="1" applyFill="1" applyBorder="1" applyAlignment="1">
      <alignment horizontal="center" wrapText="1"/>
    </xf>
    <xf numFmtId="181" fontId="69" fillId="42" borderId="37" xfId="256" applyNumberFormat="1" applyFont="1" applyFill="1" applyBorder="1" applyAlignment="1">
      <alignment horizontal="center" wrapText="1"/>
    </xf>
    <xf numFmtId="181" fontId="68" fillId="44" borderId="39" xfId="256" applyNumberFormat="1" applyFont="1" applyFill="1" applyBorder="1" applyAlignment="1">
      <alignment horizontal="center" vertical="center" wrapText="1"/>
    </xf>
    <xf numFmtId="181" fontId="68" fillId="36" borderId="24" xfId="256" applyNumberFormat="1" applyFont="1" applyFill="1" applyBorder="1" applyAlignment="1">
      <alignment horizontal="center" vertical="center" wrapText="1"/>
    </xf>
    <xf numFmtId="0" fontId="68" fillId="36" borderId="139" xfId="150" applyFont="1" applyFill="1" applyBorder="1" applyAlignment="1">
      <alignment horizontal="center" vertical="center" wrapText="1"/>
    </xf>
    <xf numFmtId="0" fontId="68" fillId="36" borderId="139" xfId="150" applyFont="1" applyFill="1" applyBorder="1" applyAlignment="1">
      <alignment vertical="center" wrapText="1"/>
    </xf>
    <xf numFmtId="174" fontId="68" fillId="44" borderId="39" xfId="256" applyNumberFormat="1" applyFont="1" applyFill="1" applyBorder="1" applyAlignment="1">
      <alignment horizontal="center" vertical="center" wrapText="1"/>
    </xf>
    <xf numFmtId="181" fontId="68" fillId="36" borderId="68" xfId="256" applyNumberFormat="1" applyFont="1" applyFill="1" applyBorder="1" applyAlignment="1">
      <alignment horizontal="center" vertical="center" wrapText="1"/>
    </xf>
    <xf numFmtId="174" fontId="68" fillId="44" borderId="24" xfId="256" applyNumberFormat="1" applyFont="1" applyFill="1" applyBorder="1" applyAlignment="1">
      <alignment horizontal="center" vertical="center" wrapText="1"/>
    </xf>
    <xf numFmtId="181" fontId="68" fillId="44" borderId="24" xfId="256" applyNumberFormat="1" applyFont="1" applyFill="1" applyBorder="1" applyAlignment="1">
      <alignment horizontal="center" vertical="center" wrapText="1"/>
    </xf>
    <xf numFmtId="181" fontId="68" fillId="44" borderId="68" xfId="256" applyNumberFormat="1" applyFont="1" applyFill="1" applyBorder="1" applyAlignment="1">
      <alignment horizontal="center" vertical="center" wrapText="1"/>
    </xf>
    <xf numFmtId="174" fontId="68" fillId="44" borderId="68" xfId="256" applyNumberFormat="1" applyFont="1" applyFill="1" applyBorder="1" applyAlignment="1">
      <alignment horizontal="center" vertical="center" wrapText="1"/>
    </xf>
    <xf numFmtId="0" fontId="70" fillId="44" borderId="139" xfId="150" applyFont="1" applyFill="1" applyBorder="1" applyAlignment="1">
      <alignment horizontal="center" vertical="center" wrapText="1"/>
    </xf>
    <xf numFmtId="185" fontId="70" fillId="0" borderId="0" xfId="256" applyNumberFormat="1" applyFont="1" applyFill="1" applyBorder="1" applyAlignment="1">
      <alignment horizontal="center" vertical="center" wrapText="1"/>
    </xf>
    <xf numFmtId="174" fontId="68" fillId="0" borderId="0" xfId="256" applyNumberFormat="1" applyFont="1" applyFill="1" applyBorder="1" applyAlignment="1">
      <alignment vertical="center" wrapText="1"/>
    </xf>
    <xf numFmtId="185" fontId="68" fillId="0" borderId="0" xfId="256" applyNumberFormat="1" applyFont="1" applyFill="1" applyBorder="1" applyAlignment="1">
      <alignment vertical="center" wrapText="1"/>
    </xf>
    <xf numFmtId="3" fontId="76" fillId="0" borderId="0" xfId="248" applyNumberFormat="1" applyFont="1" applyFill="1" applyBorder="1" applyAlignment="1">
      <alignment horizontal="center" vertical="center" wrapText="1"/>
    </xf>
    <xf numFmtId="184" fontId="76" fillId="0" borderId="0" xfId="249" applyNumberFormat="1" applyFont="1" applyFill="1" applyBorder="1" applyAlignment="1">
      <alignment horizontal="center" vertical="center"/>
    </xf>
    <xf numFmtId="0" fontId="72" fillId="0" borderId="0" xfId="149" applyFont="1" applyAlignment="1">
      <alignment horizontal="left" wrapText="1"/>
    </xf>
    <xf numFmtId="0" fontId="76" fillId="4" borderId="150" xfId="250" applyFont="1" applyFill="1" applyBorder="1" applyAlignment="1">
      <alignment horizontal="center" vertical="center" wrapText="1"/>
    </xf>
    <xf numFmtId="0" fontId="76" fillId="4" borderId="33" xfId="250" applyFont="1" applyFill="1" applyBorder="1" applyAlignment="1">
      <alignment horizontal="center" vertical="center" wrapText="1"/>
    </xf>
    <xf numFmtId="3" fontId="76" fillId="4" borderId="123" xfId="248" applyNumberFormat="1" applyFont="1" applyFill="1" applyBorder="1" applyAlignment="1">
      <alignment horizontal="center" vertical="center" wrapText="1"/>
    </xf>
    <xf numFmtId="0" fontId="76" fillId="4" borderId="68" xfId="251" applyFont="1" applyFill="1" applyBorder="1" applyAlignment="1">
      <alignment horizontal="center" vertical="center" wrapText="1"/>
    </xf>
    <xf numFmtId="3" fontId="76" fillId="4" borderId="10" xfId="248" applyNumberFormat="1" applyFont="1" applyFill="1" applyBorder="1" applyAlignment="1">
      <alignment horizontal="center" vertical="center" wrapText="1"/>
    </xf>
    <xf numFmtId="3" fontId="76" fillId="4" borderId="149" xfId="248" applyNumberFormat="1" applyFont="1" applyFill="1" applyBorder="1" applyAlignment="1">
      <alignment horizontal="center" vertical="center" wrapText="1"/>
    </xf>
    <xf numFmtId="3" fontId="76" fillId="4" borderId="19" xfId="248" applyNumberFormat="1" applyFont="1" applyFill="1" applyBorder="1" applyAlignment="1">
      <alignment horizontal="center" vertical="center" wrapText="1"/>
    </xf>
    <xf numFmtId="3" fontId="76" fillId="4" borderId="11" xfId="248" applyNumberFormat="1" applyFont="1" applyFill="1" applyBorder="1" applyAlignment="1">
      <alignment horizontal="center" vertical="center" wrapText="1"/>
    </xf>
    <xf numFmtId="0" fontId="70" fillId="36" borderId="139" xfId="150" applyFont="1" applyFill="1" applyBorder="1" applyAlignment="1">
      <alignment horizontal="center" vertical="center" wrapText="1"/>
    </xf>
    <xf numFmtId="0" fontId="70" fillId="36" borderId="68" xfId="150" applyFont="1" applyFill="1" applyBorder="1" applyAlignment="1">
      <alignment horizontal="center" vertical="center" wrapText="1"/>
    </xf>
    <xf numFmtId="0" fontId="70" fillId="0" borderId="144" xfId="150" applyFont="1" applyBorder="1" applyAlignment="1">
      <alignment horizontal="center" vertical="center" wrapText="1"/>
    </xf>
    <xf numFmtId="0" fontId="70" fillId="0" borderId="39" xfId="150" applyFont="1" applyBorder="1" applyAlignment="1">
      <alignment horizontal="center" vertical="center" wrapText="1"/>
    </xf>
    <xf numFmtId="0" fontId="70" fillId="0" borderId="139" xfId="150" applyFont="1" applyBorder="1" applyAlignment="1">
      <alignment horizontal="center" vertical="center" wrapText="1"/>
    </xf>
    <xf numFmtId="0" fontId="70" fillId="0" borderId="68" xfId="150" applyFont="1" applyBorder="1" applyAlignment="1">
      <alignment horizontal="center" vertical="center" wrapText="1"/>
    </xf>
    <xf numFmtId="0" fontId="69" fillId="42" borderId="124" xfId="150" applyFont="1" applyFill="1" applyBorder="1" applyAlignment="1">
      <alignment horizontal="center" vertical="center" wrapText="1"/>
    </xf>
    <xf numFmtId="0" fontId="69" fillId="42" borderId="0" xfId="150" applyFont="1" applyFill="1" applyAlignment="1">
      <alignment horizontal="center" vertical="center" wrapText="1"/>
    </xf>
    <xf numFmtId="0" fontId="69" fillId="42" borderId="144" xfId="150" applyFont="1" applyFill="1" applyBorder="1" applyAlignment="1">
      <alignment horizontal="center" vertical="center" wrapText="1"/>
    </xf>
    <xf numFmtId="0" fontId="69" fillId="42" borderId="137" xfId="150" applyFont="1" applyFill="1" applyBorder="1" applyAlignment="1">
      <alignment horizontal="center" vertical="center" wrapText="1"/>
    </xf>
    <xf numFmtId="0" fontId="69" fillId="42" borderId="7" xfId="150" applyFont="1" applyFill="1" applyBorder="1" applyAlignment="1">
      <alignment horizontal="center" vertical="center" wrapText="1"/>
    </xf>
    <xf numFmtId="0" fontId="69" fillId="42" borderId="147" xfId="150" applyFont="1" applyFill="1" applyBorder="1" applyAlignment="1">
      <alignment horizontal="center" vertical="center" wrapText="1"/>
    </xf>
    <xf numFmtId="0" fontId="70" fillId="44" borderId="141" xfId="150" applyFont="1" applyFill="1" applyBorder="1" applyAlignment="1">
      <alignment horizontal="center" vertical="center" wrapText="1"/>
    </xf>
    <xf numFmtId="0" fontId="70" fillId="44" borderId="145" xfId="150" applyFont="1" applyFill="1" applyBorder="1" applyAlignment="1">
      <alignment horizontal="center" vertical="center" wrapText="1"/>
    </xf>
    <xf numFmtId="0" fontId="70" fillId="0" borderId="123" xfId="150" applyFont="1" applyBorder="1" applyAlignment="1">
      <alignment horizontal="center" vertical="center" wrapText="1"/>
    </xf>
    <xf numFmtId="0" fontId="70" fillId="0" borderId="145" xfId="150" applyFont="1" applyBorder="1" applyAlignment="1">
      <alignment horizontal="center" vertical="center" wrapText="1"/>
    </xf>
    <xf numFmtId="0" fontId="70" fillId="0" borderId="24" xfId="150" applyFont="1" applyBorder="1" applyAlignment="1">
      <alignment horizontal="center" vertical="center" wrapText="1"/>
    </xf>
    <xf numFmtId="0" fontId="13" fillId="0" borderId="24" xfId="150" applyBorder="1" applyAlignment="1">
      <alignment horizontal="center" vertical="center" wrapText="1"/>
    </xf>
    <xf numFmtId="0" fontId="70" fillId="36" borderId="39" xfId="150" applyFont="1" applyFill="1" applyBorder="1" applyAlignment="1">
      <alignment horizontal="center" vertical="center" wrapText="1"/>
    </xf>
    <xf numFmtId="0" fontId="70" fillId="39" borderId="139" xfId="150" applyFont="1" applyFill="1" applyBorder="1" applyAlignment="1">
      <alignment horizontal="center" vertical="center" wrapText="1"/>
    </xf>
    <xf numFmtId="0" fontId="70" fillId="39" borderId="68" xfId="150" applyFont="1" applyFill="1" applyBorder="1" applyAlignment="1">
      <alignment horizontal="center" vertical="center" wrapText="1"/>
    </xf>
    <xf numFmtId="0" fontId="70" fillId="36" borderId="123" xfId="150" applyFont="1" applyFill="1" applyBorder="1" applyAlignment="1">
      <alignment horizontal="center" vertical="center" wrapText="1"/>
    </xf>
    <xf numFmtId="0" fontId="70" fillId="44" borderId="13" xfId="150" applyFont="1" applyFill="1" applyBorder="1" applyAlignment="1">
      <alignment horizontal="center" vertical="center" wrapText="1"/>
    </xf>
    <xf numFmtId="0" fontId="70" fillId="44" borderId="32" xfId="150" applyFont="1" applyFill="1" applyBorder="1" applyAlignment="1">
      <alignment horizontal="center" vertical="center" wrapText="1"/>
    </xf>
    <xf numFmtId="0" fontId="69" fillId="0" borderId="124" xfId="150" applyFont="1" applyBorder="1" applyAlignment="1">
      <alignment horizontal="center" vertical="center" wrapText="1"/>
    </xf>
    <xf numFmtId="0" fontId="69" fillId="0" borderId="0" xfId="150" applyFont="1" applyAlignment="1">
      <alignment horizontal="center" vertical="center" wrapText="1"/>
    </xf>
    <xf numFmtId="0" fontId="69" fillId="0" borderId="144" xfId="150" applyFont="1" applyBorder="1" applyAlignment="1">
      <alignment horizontal="center" vertical="center" wrapText="1"/>
    </xf>
    <xf numFmtId="0" fontId="70" fillId="44" borderId="18" xfId="150" applyFont="1" applyFill="1" applyBorder="1" applyAlignment="1">
      <alignment horizontal="center" vertical="center" wrapText="1"/>
    </xf>
    <xf numFmtId="0" fontId="70" fillId="0" borderId="142" xfId="150" applyFont="1" applyBorder="1" applyAlignment="1">
      <alignment horizontal="center" vertical="center" wrapText="1"/>
    </xf>
    <xf numFmtId="0" fontId="70" fillId="39" borderId="24" xfId="150" applyFont="1" applyFill="1" applyBorder="1" applyAlignment="1">
      <alignment horizontal="center" vertical="center" wrapText="1"/>
    </xf>
    <xf numFmtId="0" fontId="68" fillId="39" borderId="139" xfId="150" applyFont="1" applyFill="1" applyBorder="1" applyAlignment="1">
      <alignment horizontal="center" vertical="center" wrapText="1"/>
    </xf>
    <xf numFmtId="0" fontId="68" fillId="39" borderId="68" xfId="150" applyFont="1" applyFill="1" applyBorder="1" applyAlignment="1">
      <alignment horizontal="center" vertical="center" wrapText="1"/>
    </xf>
    <xf numFmtId="0" fontId="55" fillId="0" borderId="24" xfId="150" applyFont="1" applyBorder="1" applyAlignment="1">
      <alignment horizontal="center"/>
    </xf>
    <xf numFmtId="0" fontId="55" fillId="0" borderId="139" xfId="150" applyFont="1" applyBorder="1" applyAlignment="1">
      <alignment horizontal="center" vertical="center" wrapText="1"/>
    </xf>
    <xf numFmtId="0" fontId="55" fillId="0" borderId="39" xfId="150" applyFont="1" applyBorder="1" applyAlignment="1">
      <alignment horizontal="center" vertical="center" wrapText="1"/>
    </xf>
    <xf numFmtId="0" fontId="55" fillId="0" borderId="68" xfId="150" applyFont="1" applyBorder="1" applyAlignment="1">
      <alignment horizontal="center" vertical="center" wrapText="1"/>
    </xf>
    <xf numFmtId="0" fontId="58" fillId="36" borderId="139" xfId="150" applyFont="1" applyFill="1" applyBorder="1" applyAlignment="1">
      <alignment horizontal="center" vertical="center" wrapText="1"/>
    </xf>
    <xf numFmtId="0" fontId="58" fillId="36" borderId="39" xfId="150" applyFont="1" applyFill="1" applyBorder="1" applyAlignment="1">
      <alignment horizontal="center" vertical="center" wrapText="1"/>
    </xf>
    <xf numFmtId="0" fontId="58" fillId="36" borderId="68" xfId="150" applyFont="1" applyFill="1" applyBorder="1" applyAlignment="1">
      <alignment horizontal="center" vertical="center" wrapText="1"/>
    </xf>
    <xf numFmtId="0" fontId="57" fillId="38" borderId="18" xfId="150" applyFont="1" applyFill="1" applyBorder="1" applyAlignment="1">
      <alignment horizontal="center" vertical="center" wrapText="1"/>
    </xf>
    <xf numFmtId="0" fontId="57" fillId="38" borderId="13" xfId="150" applyFont="1" applyFill="1" applyBorder="1" applyAlignment="1">
      <alignment horizontal="center" vertical="center" wrapText="1"/>
    </xf>
    <xf numFmtId="0" fontId="58" fillId="39" borderId="139" xfId="150" applyFont="1" applyFill="1" applyBorder="1" applyAlignment="1">
      <alignment horizontal="center" vertical="center" wrapText="1"/>
    </xf>
    <xf numFmtId="0" fontId="58" fillId="39" borderId="39" xfId="150" applyFont="1" applyFill="1" applyBorder="1" applyAlignment="1">
      <alignment horizontal="center" vertical="center" wrapText="1"/>
    </xf>
    <xf numFmtId="0" fontId="58" fillId="39" borderId="68" xfId="150" applyFont="1" applyFill="1" applyBorder="1" applyAlignment="1">
      <alignment horizontal="center" vertical="center" wrapText="1"/>
    </xf>
    <xf numFmtId="168" fontId="60" fillId="0" borderId="18" xfId="150" applyNumberFormat="1" applyFont="1" applyFill="1" applyBorder="1" applyAlignment="1">
      <alignment horizontal="center" vertical="center"/>
    </xf>
    <xf numFmtId="168" fontId="60" fillId="0" borderId="32" xfId="150" applyNumberFormat="1" applyFont="1" applyFill="1" applyBorder="1" applyAlignment="1">
      <alignment horizontal="center" vertical="center"/>
    </xf>
    <xf numFmtId="0" fontId="60" fillId="0" borderId="139" xfId="150" applyFont="1" applyBorder="1" applyAlignment="1">
      <alignment horizontal="center" vertical="center"/>
    </xf>
    <xf numFmtId="0" fontId="60" fillId="0" borderId="39" xfId="150" applyFont="1" applyBorder="1" applyAlignment="1">
      <alignment horizontal="center" vertical="center"/>
    </xf>
    <xf numFmtId="0" fontId="60" fillId="0" borderId="68" xfId="150" applyFont="1" applyBorder="1" applyAlignment="1">
      <alignment horizontal="center" vertical="center"/>
    </xf>
    <xf numFmtId="0" fontId="60" fillId="0" borderId="139" xfId="150" applyFont="1" applyBorder="1" applyAlignment="1">
      <alignment horizontal="center"/>
    </xf>
    <xf numFmtId="0" fontId="60" fillId="0" borderId="39" xfId="150" applyFont="1" applyBorder="1" applyAlignment="1">
      <alignment horizontal="center"/>
    </xf>
    <xf numFmtId="0" fontId="60" fillId="0" borderId="68" xfId="150" applyFont="1" applyBorder="1" applyAlignment="1">
      <alignment horizontal="center"/>
    </xf>
    <xf numFmtId="0" fontId="57" fillId="0" borderId="18" xfId="150" applyFont="1" applyBorder="1" applyAlignment="1">
      <alignment horizontal="center" vertical="center" wrapText="1"/>
    </xf>
    <xf numFmtId="0" fontId="57" fillId="0" borderId="13" xfId="150" applyFont="1" applyBorder="1" applyAlignment="1">
      <alignment horizontal="center" vertical="center" wrapText="1"/>
    </xf>
    <xf numFmtId="0" fontId="57" fillId="0" borderId="32" xfId="150" applyFont="1" applyBorder="1" applyAlignment="1">
      <alignment horizontal="center" vertical="center" wrapText="1"/>
    </xf>
    <xf numFmtId="0" fontId="57" fillId="0" borderId="0" xfId="150" applyFont="1" applyAlignment="1">
      <alignment horizontal="left" vertical="center" wrapText="1"/>
    </xf>
    <xf numFmtId="0" fontId="57" fillId="0" borderId="139" xfId="150" applyFont="1" applyBorder="1" applyAlignment="1">
      <alignment horizontal="center" vertical="center"/>
    </xf>
    <xf numFmtId="0" fontId="57" fillId="0" borderId="39" xfId="150" applyFont="1" applyBorder="1" applyAlignment="1">
      <alignment horizontal="center" vertical="center"/>
    </xf>
    <xf numFmtId="0" fontId="57" fillId="0" borderId="68" xfId="150" applyFont="1" applyBorder="1" applyAlignment="1">
      <alignment horizontal="center" vertical="center"/>
    </xf>
    <xf numFmtId="0" fontId="57" fillId="34" borderId="139" xfId="150" applyFont="1" applyFill="1" applyBorder="1" applyAlignment="1">
      <alignment horizontal="center" vertical="center"/>
    </xf>
    <xf numFmtId="0" fontId="57" fillId="34" borderId="39" xfId="150" applyFont="1" applyFill="1" applyBorder="1" applyAlignment="1">
      <alignment horizontal="center" vertical="center"/>
    </xf>
    <xf numFmtId="0" fontId="57" fillId="34" borderId="68" xfId="150" applyFont="1" applyFill="1" applyBorder="1" applyAlignment="1">
      <alignment horizontal="center" vertical="center"/>
    </xf>
    <xf numFmtId="0" fontId="57" fillId="38" borderId="32" xfId="150" applyFont="1" applyFill="1" applyBorder="1" applyAlignment="1">
      <alignment horizontal="center" vertical="center" wrapText="1"/>
    </xf>
    <xf numFmtId="0" fontId="57" fillId="34" borderId="139" xfId="150" applyFont="1" applyFill="1" applyBorder="1" applyAlignment="1">
      <alignment horizontal="center" vertical="center" wrapText="1"/>
    </xf>
    <xf numFmtId="0" fontId="57" fillId="34" borderId="39" xfId="150" applyFont="1" applyFill="1" applyBorder="1" applyAlignment="1">
      <alignment horizontal="center" vertical="center" wrapText="1"/>
    </xf>
    <xf numFmtId="0" fontId="57" fillId="34" borderId="68" xfId="150" applyFont="1" applyFill="1" applyBorder="1" applyAlignment="1">
      <alignment horizontal="center" vertical="center" wrapText="1"/>
    </xf>
    <xf numFmtId="0" fontId="57" fillId="0" borderId="139" xfId="150" applyFont="1" applyBorder="1" applyAlignment="1">
      <alignment horizontal="center" vertical="center" wrapText="1"/>
    </xf>
    <xf numFmtId="0" fontId="57" fillId="0" borderId="39" xfId="150" applyFont="1" applyBorder="1" applyAlignment="1">
      <alignment horizontal="center" vertical="center" wrapText="1"/>
    </xf>
    <xf numFmtId="0" fontId="57" fillId="0" borderId="68" xfId="150" applyFont="1" applyBorder="1" applyAlignment="1">
      <alignment horizontal="center" vertical="center" wrapText="1"/>
    </xf>
    <xf numFmtId="0" fontId="63" fillId="0" borderId="143" xfId="150" applyFont="1" applyBorder="1" applyAlignment="1">
      <alignment horizontal="center" vertical="center" wrapText="1"/>
    </xf>
    <xf numFmtId="0" fontId="63" fillId="0" borderId="142" xfId="150" applyFont="1" applyBorder="1" applyAlignment="1">
      <alignment horizontal="center" vertical="center" wrapText="1"/>
    </xf>
    <xf numFmtId="0" fontId="55" fillId="0" borderId="139" xfId="150" applyFont="1" applyBorder="1" applyAlignment="1">
      <alignment horizontal="center" vertical="center"/>
    </xf>
    <xf numFmtId="0" fontId="55" fillId="0" borderId="39" xfId="150" applyFont="1" applyBorder="1" applyAlignment="1">
      <alignment horizontal="center" vertical="center"/>
    </xf>
    <xf numFmtId="0" fontId="55" fillId="0" borderId="68" xfId="150" applyFont="1" applyBorder="1" applyAlignment="1">
      <alignment horizontal="center" vertical="center"/>
    </xf>
    <xf numFmtId="176" fontId="59" fillId="0" borderId="18" xfId="150" applyNumberFormat="1" applyFont="1" applyBorder="1" applyAlignment="1">
      <alignment horizontal="center" vertical="top" wrapText="1"/>
    </xf>
    <xf numFmtId="176" fontId="59" fillId="0" borderId="13" xfId="150" applyNumberFormat="1" applyFont="1" applyBorder="1" applyAlignment="1">
      <alignment horizontal="center" vertical="top" wrapText="1"/>
    </xf>
    <xf numFmtId="0" fontId="58" fillId="0" borderId="139" xfId="150" applyFont="1" applyBorder="1" applyAlignment="1">
      <alignment horizontal="center" vertical="center" wrapText="1"/>
    </xf>
    <xf numFmtId="0" fontId="58" fillId="0" borderId="39" xfId="150" applyFont="1" applyBorder="1" applyAlignment="1">
      <alignment horizontal="center" vertical="center" wrapText="1"/>
    </xf>
    <xf numFmtId="0" fontId="58" fillId="0" borderId="68" xfId="150" applyFont="1" applyBorder="1" applyAlignment="1">
      <alignment horizontal="center" vertical="center" wrapText="1"/>
    </xf>
    <xf numFmtId="0" fontId="6" fillId="0" borderId="4" xfId="0" applyFont="1" applyFill="1" applyBorder="1" applyAlignment="1">
      <alignment horizontal="left" vertical="center"/>
    </xf>
    <xf numFmtId="0" fontId="6" fillId="0" borderId="5" xfId="0" applyFont="1" applyFill="1" applyBorder="1" applyAlignment="1">
      <alignment horizontal="left" vertical="center"/>
    </xf>
    <xf numFmtId="0" fontId="11" fillId="0" borderId="25" xfId="0" applyFont="1" applyFill="1" applyBorder="1" applyAlignment="1">
      <alignment horizontal="left" vertical="center"/>
    </xf>
    <xf numFmtId="0" fontId="11" fillId="0" borderId="26" xfId="0" applyFont="1" applyFill="1" applyBorder="1" applyAlignment="1">
      <alignment horizontal="left" vertical="center"/>
    </xf>
    <xf numFmtId="0" fontId="11" fillId="0" borderId="27" xfId="0" applyFont="1" applyFill="1" applyBorder="1" applyAlignment="1">
      <alignment horizontal="left" vertical="center"/>
    </xf>
    <xf numFmtId="0" fontId="6" fillId="0" borderId="140" xfId="0" applyFont="1" applyFill="1" applyBorder="1" applyAlignment="1">
      <alignment horizontal="left" vertical="center"/>
    </xf>
    <xf numFmtId="0" fontId="6" fillId="0" borderId="15" xfId="0" applyFont="1" applyFill="1" applyBorder="1" applyAlignment="1">
      <alignment horizontal="left" vertical="center"/>
    </xf>
    <xf numFmtId="0" fontId="6" fillId="0" borderId="31" xfId="0" applyFont="1" applyFill="1" applyBorder="1" applyAlignment="1">
      <alignment horizontal="left" vertical="center"/>
    </xf>
    <xf numFmtId="0" fontId="6" fillId="0" borderId="16" xfId="0" applyFont="1" applyFill="1" applyBorder="1" applyAlignment="1">
      <alignment horizontal="left" vertical="center"/>
    </xf>
    <xf numFmtId="0" fontId="6" fillId="0" borderId="9" xfId="0" applyFont="1" applyFill="1" applyBorder="1" applyAlignment="1">
      <alignment horizontal="left" vertical="center"/>
    </xf>
    <xf numFmtId="0" fontId="6" fillId="0" borderId="3" xfId="0" applyFont="1" applyFill="1" applyBorder="1" applyAlignment="1">
      <alignment horizontal="left" vertical="center"/>
    </xf>
  </cellXfs>
  <cellStyles count="257">
    <cellStyle name="20 % - Accent1" xfId="9"/>
    <cellStyle name="20 % - Accent2" xfId="10"/>
    <cellStyle name="20 % - Accent3" xfId="11"/>
    <cellStyle name="20 % - Accent4" xfId="12"/>
    <cellStyle name="20 % - Accent5" xfId="13"/>
    <cellStyle name="20 % - Accent6" xfId="14"/>
    <cellStyle name="20% - Accent1 2" xfId="15"/>
    <cellStyle name="20% - Accent2 2" xfId="16"/>
    <cellStyle name="20% - Accent3 2" xfId="17"/>
    <cellStyle name="20% - Accent4 2" xfId="18"/>
    <cellStyle name="20% - Accent5 2" xfId="19"/>
    <cellStyle name="20% - Accent6 2" xfId="20"/>
    <cellStyle name="40 % - Accent1" xfId="21"/>
    <cellStyle name="40 % - Accent2" xfId="22"/>
    <cellStyle name="40 % - Accent3" xfId="23"/>
    <cellStyle name="40 % - Accent4" xfId="24"/>
    <cellStyle name="40 % - Accent5" xfId="25"/>
    <cellStyle name="40 % - Accent6" xfId="26"/>
    <cellStyle name="40% - Accent1 2" xfId="27"/>
    <cellStyle name="40% - Accent2 2" xfId="28"/>
    <cellStyle name="40% - Accent3 2" xfId="29"/>
    <cellStyle name="40% - Accent4 2" xfId="30"/>
    <cellStyle name="40% - Accent5 2" xfId="31"/>
    <cellStyle name="40% - Accent6 2" xfId="32"/>
    <cellStyle name="60 % - Accent1" xfId="33"/>
    <cellStyle name="60 % - Accent2" xfId="34"/>
    <cellStyle name="60 % - Accent3" xfId="35"/>
    <cellStyle name="60 % - Accent4" xfId="36"/>
    <cellStyle name="60 % - Accent5" xfId="37"/>
    <cellStyle name="60 % - Accent6" xfId="38"/>
    <cellStyle name="60% - Accent1 2" xfId="39"/>
    <cellStyle name="60% - Accent2 2" xfId="40"/>
    <cellStyle name="60% - Accent3 2" xfId="41"/>
    <cellStyle name="60% - Accent4 2" xfId="42"/>
    <cellStyle name="60% - Accent5 2" xfId="43"/>
    <cellStyle name="60% - Accent6 2" xfId="44"/>
    <cellStyle name="Accent1 2" xfId="45"/>
    <cellStyle name="Accent2 2" xfId="46"/>
    <cellStyle name="Accent3 2" xfId="47"/>
    <cellStyle name="Accent4 2" xfId="48"/>
    <cellStyle name="Accent5 2" xfId="49"/>
    <cellStyle name="Accent6 2" xfId="50"/>
    <cellStyle name="Avertissement" xfId="51"/>
    <cellStyle name="Bad 2" xfId="52"/>
    <cellStyle name="Calcul" xfId="53"/>
    <cellStyle name="Calcul 2" xfId="54"/>
    <cellStyle name="Calcul 3" xfId="55"/>
    <cellStyle name="Calculation 2" xfId="56"/>
    <cellStyle name="Calculation 2 2" xfId="57"/>
    <cellStyle name="Calculation 2 3" xfId="58"/>
    <cellStyle name="Calculation 3" xfId="59"/>
    <cellStyle name="Calculation 3 2" xfId="60"/>
    <cellStyle name="Calculation 4" xfId="61"/>
    <cellStyle name="Calculation 4 2" xfId="62"/>
    <cellStyle name="Calculation 5" xfId="63"/>
    <cellStyle name="Cellule liée" xfId="64"/>
    <cellStyle name="Check Cell 2" xfId="65"/>
    <cellStyle name="clsAltData" xfId="66"/>
    <cellStyle name="clsAltData 2" xfId="67"/>
    <cellStyle name="clsAltMRVData" xfId="68"/>
    <cellStyle name="clsAltMRVData 2" xfId="69"/>
    <cellStyle name="clsBlank" xfId="70"/>
    <cellStyle name="clsColumnHeader" xfId="71"/>
    <cellStyle name="clsColumnHeader 2" xfId="72"/>
    <cellStyle name="clsData" xfId="73"/>
    <cellStyle name="clsData 2" xfId="74"/>
    <cellStyle name="clsDefault" xfId="75"/>
    <cellStyle name="clsFooter" xfId="76"/>
    <cellStyle name="clsFooter 2" xfId="77"/>
    <cellStyle name="clsIndexTableData" xfId="78"/>
    <cellStyle name="clsIndexTableHdr" xfId="79"/>
    <cellStyle name="clsIndexTableTitle" xfId="80"/>
    <cellStyle name="clsIndexTableTitle 2" xfId="81"/>
    <cellStyle name="clsMRVData" xfId="82"/>
    <cellStyle name="clsMRVData 2" xfId="83"/>
    <cellStyle name="clsReportFooter" xfId="84"/>
    <cellStyle name="clsReportFooter 2" xfId="85"/>
    <cellStyle name="clsReportHeader" xfId="86"/>
    <cellStyle name="clsReportHeader 2" xfId="87"/>
    <cellStyle name="clsRowHeader" xfId="88"/>
    <cellStyle name="clsRowHeader 2" xfId="89"/>
    <cellStyle name="clsScale" xfId="90"/>
    <cellStyle name="clsSection" xfId="91"/>
    <cellStyle name="clsSection 2" xfId="92"/>
    <cellStyle name="Comma [0]" xfId="1" builtinId="6"/>
    <cellStyle name="Comma [0] 2" xfId="7"/>
    <cellStyle name="Comma [0] 3" xfId="93"/>
    <cellStyle name="Comma [0] 4" xfId="94"/>
    <cellStyle name="Comma [0] 5" xfId="95"/>
    <cellStyle name="Comma [0] 6" xfId="96"/>
    <cellStyle name="Comma [0] 7" xfId="246"/>
    <cellStyle name="Comma [0] 8" xfId="255"/>
    <cellStyle name="Comma 17" xfId="97"/>
    <cellStyle name="Comma 2" xfId="98"/>
    <cellStyle name="Comma 2 2" xfId="99"/>
    <cellStyle name="Comma 2 3" xfId="100"/>
    <cellStyle name="Comma 20" xfId="101"/>
    <cellStyle name="Comma 26" xfId="102"/>
    <cellStyle name="Comma 3" xfId="103"/>
    <cellStyle name="Comma 3 2" xfId="104"/>
    <cellStyle name="Comma 4" xfId="105"/>
    <cellStyle name="Comma 4 2" xfId="106"/>
    <cellStyle name="Comma 46" xfId="107"/>
    <cellStyle name="Comma 5" xfId="108"/>
    <cellStyle name="Comma 6" xfId="109"/>
    <cellStyle name="Comma 7" xfId="247"/>
    <cellStyle name="Comma 8" xfId="254"/>
    <cellStyle name="Comma 9" xfId="256"/>
    <cellStyle name="Comma_CAIL6B8P 2" xfId="249"/>
    <cellStyle name="Commentaire" xfId="110"/>
    <cellStyle name="Commentaire 2" xfId="111"/>
    <cellStyle name="Commentaire 3" xfId="112"/>
    <cellStyle name="Currency" xfId="3" builtinId="4"/>
    <cellStyle name="Currency 2" xfId="113"/>
    <cellStyle name="Currency 3" xfId="114"/>
    <cellStyle name="Currency 4" xfId="2"/>
    <cellStyle name="Emphasis 1" xfId="115"/>
    <cellStyle name="Emphasis 2" xfId="116"/>
    <cellStyle name="Emphasis 3" xfId="117"/>
    <cellStyle name="Entrée" xfId="118"/>
    <cellStyle name="Entrée 2" xfId="119"/>
    <cellStyle name="Entrée 3" xfId="120"/>
    <cellStyle name="Euro" xfId="121"/>
    <cellStyle name="Euro 2" xfId="122"/>
    <cellStyle name="Euro 2 2" xfId="123"/>
    <cellStyle name="Euro 3" xfId="124"/>
    <cellStyle name="Explanatory Text 2" xfId="125"/>
    <cellStyle name="Good 2" xfId="126"/>
    <cellStyle name="Heading 1 2" xfId="127"/>
    <cellStyle name="Heading 2 2" xfId="128"/>
    <cellStyle name="Heading 3 2" xfId="129"/>
    <cellStyle name="Heading 4 2" xfId="130"/>
    <cellStyle name="Hyperlink 2" xfId="131"/>
    <cellStyle name="Hyperlink 3" xfId="132"/>
    <cellStyle name="Input 2" xfId="133"/>
    <cellStyle name="Input 2 2" xfId="134"/>
    <cellStyle name="Input 2 3" xfId="135"/>
    <cellStyle name="Input 3" xfId="136"/>
    <cellStyle name="Input 3 2" xfId="137"/>
    <cellStyle name="Input 4" xfId="138"/>
    <cellStyle name="Input 4 2" xfId="139"/>
    <cellStyle name="Input 5" xfId="140"/>
    <cellStyle name="Insatisfaisant" xfId="141"/>
    <cellStyle name="Lien hypertexte_prix écon" xfId="142"/>
    <cellStyle name="Linked Cell 2" xfId="143"/>
    <cellStyle name="Migliaia (0)_Cartel1" xfId="144"/>
    <cellStyle name="Migliaia_Budget composante 1-2 du 4_2_08" xfId="145"/>
    <cellStyle name="Millares 8" xfId="146"/>
    <cellStyle name="Milliers 2" xfId="245"/>
    <cellStyle name="Milliers 2 2" xfId="253"/>
    <cellStyle name="Neutral 2" xfId="147"/>
    <cellStyle name="Neutre" xfId="148"/>
    <cellStyle name="Normal" xfId="0" builtinId="0"/>
    <cellStyle name="Normal 10" xfId="149"/>
    <cellStyle name="Normal 11" xfId="150"/>
    <cellStyle name="Normal 11 2" xfId="151"/>
    <cellStyle name="Normal 11 3" xfId="152"/>
    <cellStyle name="Normal 12" xfId="153"/>
    <cellStyle name="Normal 12 2" xfId="154"/>
    <cellStyle name="Normal 2" xfId="5"/>
    <cellStyle name="Normal 2 2" xfId="155"/>
    <cellStyle name="Normal 2 2 2" xfId="156"/>
    <cellStyle name="Normal 2 2 3" xfId="157"/>
    <cellStyle name="Normal 2 2 4" xfId="158"/>
    <cellStyle name="Normal 2 2 5" xfId="159"/>
    <cellStyle name="Normal 2 3" xfId="160"/>
    <cellStyle name="Normal 2 3 2" xfId="161"/>
    <cellStyle name="Normal 2 4" xfId="162"/>
    <cellStyle name="Normal 2 5" xfId="163"/>
    <cellStyle name="Normal 2 6" xfId="164"/>
    <cellStyle name="Normal 2 7" xfId="165"/>
    <cellStyle name="Normal 2 8" xfId="166"/>
    <cellStyle name="Normal 2 8 2" xfId="167"/>
    <cellStyle name="Normal 2 9" xfId="168"/>
    <cellStyle name="Normal 2_HILIP Financial analysis jan 2011" xfId="169"/>
    <cellStyle name="Normal 3" xfId="170"/>
    <cellStyle name="Normal 3 2" xfId="171"/>
    <cellStyle name="Normal 3 2 2" xfId="172"/>
    <cellStyle name="Normal 3 3" xfId="173"/>
    <cellStyle name="Normal 3 3 2" xfId="174"/>
    <cellStyle name="Normal 3 4" xfId="175"/>
    <cellStyle name="Normal 3_Appendice 1 et 2 DT 9 Analyse économique 30_8_2010" xfId="176"/>
    <cellStyle name="Normal 4" xfId="177"/>
    <cellStyle name="Normal 4 2" xfId="178"/>
    <cellStyle name="Normal 4 2 2" xfId="179"/>
    <cellStyle name="Normal 4 3" xfId="180"/>
    <cellStyle name="Normal 4 4" xfId="181"/>
    <cellStyle name="Normal 5" xfId="182"/>
    <cellStyle name="Normal 5 2" xfId="183"/>
    <cellStyle name="Normal 5 3" xfId="184"/>
    <cellStyle name="Normal 6" xfId="185"/>
    <cellStyle name="Normal 6 2" xfId="186"/>
    <cellStyle name="Normal 6 2 2" xfId="187"/>
    <cellStyle name="Normal 7" xfId="188"/>
    <cellStyle name="Normal 8" xfId="8"/>
    <cellStyle name="Normal 9" xfId="189"/>
    <cellStyle name="Normal_Analyse fin valo" xfId="252"/>
    <cellStyle name="Normal_CAIL6B8P" xfId="251"/>
    <cellStyle name="Normal_DT 9 App 2 Résumé analyses sensibilité" xfId="250"/>
    <cellStyle name="Normal_Sensitivity" xfId="248"/>
    <cellStyle name="Normale_ACDP-2-GGP Models-fin" xfId="190"/>
    <cellStyle name="Note 2" xfId="191"/>
    <cellStyle name="Note 2 2" xfId="192"/>
    <cellStyle name="Note 2 3" xfId="193"/>
    <cellStyle name="Note 3" xfId="194"/>
    <cellStyle name="Output 2" xfId="195"/>
    <cellStyle name="Output 2 2" xfId="196"/>
    <cellStyle name="Output 2 3" xfId="197"/>
    <cellStyle name="Output 3" xfId="198"/>
    <cellStyle name="Output 3 2" xfId="199"/>
    <cellStyle name="Output 4" xfId="200"/>
    <cellStyle name="Output 4 2" xfId="201"/>
    <cellStyle name="Output 5" xfId="202"/>
    <cellStyle name="Percent" xfId="4" builtinId="5"/>
    <cellStyle name="Percent 2" xfId="6"/>
    <cellStyle name="Percent 2 2" xfId="203"/>
    <cellStyle name="Percent 2 2 2" xfId="204"/>
    <cellStyle name="Percent 2 3" xfId="205"/>
    <cellStyle name="Percent 3" xfId="206"/>
    <cellStyle name="Percent 3 2" xfId="207"/>
    <cellStyle name="Percent 4" xfId="208"/>
    <cellStyle name="Percent 4 2" xfId="209"/>
    <cellStyle name="Percent 4 3" xfId="210"/>
    <cellStyle name="Percent 5" xfId="211"/>
    <cellStyle name="Percent 6" xfId="212"/>
    <cellStyle name="Percent 9" xfId="213"/>
    <cellStyle name="Percent 9 2" xfId="214"/>
    <cellStyle name="Satisfaisant" xfId="215"/>
    <cellStyle name="Sheet Title" xfId="216"/>
    <cellStyle name="Sortie" xfId="217"/>
    <cellStyle name="Sortie 2" xfId="218"/>
    <cellStyle name="Sortie 3" xfId="219"/>
    <cellStyle name="Standaard 2" xfId="220"/>
    <cellStyle name="Standaard_PRICE_F" xfId="221"/>
    <cellStyle name="Standard_HGFOREST" xfId="222"/>
    <cellStyle name="Texte explicatif" xfId="223"/>
    <cellStyle name="Title 2" xfId="224"/>
    <cellStyle name="Titre" xfId="225"/>
    <cellStyle name="Titre 1" xfId="226"/>
    <cellStyle name="Titre 2" xfId="227"/>
    <cellStyle name="Titre 1" xfId="228"/>
    <cellStyle name="Titre 2" xfId="229"/>
    <cellStyle name="Titre 3" xfId="230"/>
    <cellStyle name="Titre 4" xfId="231"/>
    <cellStyle name="Titre_Anx 9 AP4 TRI et Analyse économique" xfId="232"/>
    <cellStyle name="Total 2" xfId="233"/>
    <cellStyle name="Total 2 2" xfId="234"/>
    <cellStyle name="Total 2 3" xfId="235"/>
    <cellStyle name="Total 3" xfId="236"/>
    <cellStyle name="Total 3 2" xfId="237"/>
    <cellStyle name="Total 4" xfId="238"/>
    <cellStyle name="Total 4 2" xfId="239"/>
    <cellStyle name="Total 5" xfId="240"/>
    <cellStyle name="Valuta (0)_Cartel1" xfId="241"/>
    <cellStyle name="Valuta_ACDP-2-GGP Models-fin" xfId="242"/>
    <cellStyle name="Vérification" xfId="243"/>
    <cellStyle name="Warning Text 2" xfId="244"/>
  </cellStyles>
  <dxfs count="2">
    <dxf>
      <numFmt numFmtId="3" formatCode="#,##0"/>
    </dxf>
    <dxf>
      <numFmt numFmtId="3" formatCode="#,##0"/>
    </dxf>
  </dxfs>
  <tableStyles count="0" defaultTableStyle="TableStyleMedium9" defaultPivotStyle="PivotStyleLight16"/>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2.xml"/><Relationship Id="rId39" Type="http://schemas.openxmlformats.org/officeDocument/2006/relationships/externalLink" Target="externalLinks/externalLink15.xml"/><Relationship Id="rId21" Type="http://schemas.openxmlformats.org/officeDocument/2006/relationships/worksheet" Target="worksheets/sheet21.xml"/><Relationship Id="rId34" Type="http://schemas.openxmlformats.org/officeDocument/2006/relationships/externalLink" Target="externalLinks/externalLink10.xml"/><Relationship Id="rId42" Type="http://schemas.openxmlformats.org/officeDocument/2006/relationships/externalLink" Target="externalLinks/externalLink18.xml"/><Relationship Id="rId47" Type="http://schemas.openxmlformats.org/officeDocument/2006/relationships/externalLink" Target="externalLinks/externalLink23.xml"/><Relationship Id="rId50" Type="http://schemas.openxmlformats.org/officeDocument/2006/relationships/pivotCacheDefinition" Target="pivotCache/pivotCacheDefinition1.xml"/><Relationship Id="rId55" Type="http://schemas.openxmlformats.org/officeDocument/2006/relationships/customXml" Target="../customXml/item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externalLink" Target="externalLinks/externalLink5.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externalLink" Target="externalLinks/externalLink8.xml"/><Relationship Id="rId37" Type="http://schemas.openxmlformats.org/officeDocument/2006/relationships/externalLink" Target="externalLinks/externalLink13.xml"/><Relationship Id="rId40" Type="http://schemas.openxmlformats.org/officeDocument/2006/relationships/externalLink" Target="externalLinks/externalLink16.xml"/><Relationship Id="rId45" Type="http://schemas.openxmlformats.org/officeDocument/2006/relationships/externalLink" Target="externalLinks/externalLink21.xml"/><Relationship Id="rId53" Type="http://schemas.openxmlformats.org/officeDocument/2006/relationships/sharedStrings" Target="sharedStrings.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3.xml"/><Relationship Id="rId30" Type="http://schemas.openxmlformats.org/officeDocument/2006/relationships/externalLink" Target="externalLinks/externalLink6.xml"/><Relationship Id="rId35" Type="http://schemas.openxmlformats.org/officeDocument/2006/relationships/externalLink" Target="externalLinks/externalLink11.xml"/><Relationship Id="rId43" Type="http://schemas.openxmlformats.org/officeDocument/2006/relationships/externalLink" Target="externalLinks/externalLink19.xml"/><Relationship Id="rId48" Type="http://schemas.openxmlformats.org/officeDocument/2006/relationships/externalLink" Target="externalLinks/externalLink24.xml"/><Relationship Id="rId56" Type="http://schemas.openxmlformats.org/officeDocument/2006/relationships/customXml" Target="../customXml/item2.xml"/><Relationship Id="rId8" Type="http://schemas.openxmlformats.org/officeDocument/2006/relationships/worksheet" Target="worksheets/sheet8.xml"/><Relationship Id="rId51" Type="http://schemas.openxmlformats.org/officeDocument/2006/relationships/theme" Target="theme/theme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1.xml"/><Relationship Id="rId33" Type="http://schemas.openxmlformats.org/officeDocument/2006/relationships/externalLink" Target="externalLinks/externalLink9.xml"/><Relationship Id="rId38" Type="http://schemas.openxmlformats.org/officeDocument/2006/relationships/externalLink" Target="externalLinks/externalLink14.xml"/><Relationship Id="rId46" Type="http://schemas.openxmlformats.org/officeDocument/2006/relationships/externalLink" Target="externalLinks/externalLink22.xml"/><Relationship Id="rId20" Type="http://schemas.openxmlformats.org/officeDocument/2006/relationships/worksheet" Target="worksheets/sheet20.xml"/><Relationship Id="rId41" Type="http://schemas.openxmlformats.org/officeDocument/2006/relationships/externalLink" Target="externalLinks/externalLink17.xml"/><Relationship Id="rId54"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4.xml"/><Relationship Id="rId36" Type="http://schemas.openxmlformats.org/officeDocument/2006/relationships/externalLink" Target="externalLinks/externalLink12.xml"/><Relationship Id="rId49" Type="http://schemas.openxmlformats.org/officeDocument/2006/relationships/externalLink" Target="externalLinks/externalLink25.xml"/><Relationship Id="rId57" Type="http://schemas.openxmlformats.org/officeDocument/2006/relationships/customXml" Target="../customXml/item3.xml"/><Relationship Id="rId10" Type="http://schemas.openxmlformats.org/officeDocument/2006/relationships/worksheet" Target="worksheets/sheet10.xml"/><Relationship Id="rId31" Type="http://schemas.openxmlformats.org/officeDocument/2006/relationships/externalLink" Target="externalLinks/externalLink7.xml"/><Relationship Id="rId44" Type="http://schemas.openxmlformats.org/officeDocument/2006/relationships/externalLink" Target="externalLinks/externalLink20.xml"/><Relationship Id="rId52"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23</xdr:col>
      <xdr:colOff>0</xdr:colOff>
      <xdr:row>54</xdr:row>
      <xdr:rowOff>148318</xdr:rowOff>
    </xdr:from>
    <xdr:to>
      <xdr:col>28</xdr:col>
      <xdr:colOff>531153</xdr:colOff>
      <xdr:row>62</xdr:row>
      <xdr:rowOff>218840</xdr:rowOff>
    </xdr:to>
    <xdr:pic>
      <xdr:nvPicPr>
        <xdr:cNvPr id="2" name="Picture 1">
          <a:extLst>
            <a:ext uri="{FF2B5EF4-FFF2-40B4-BE49-F238E27FC236}">
              <a16:creationId xmlns="" xmlns:a16="http://schemas.microsoft.com/office/drawing/2014/main" id="{04740E06-DA84-9647-F4F2-857A5DA45257}"/>
            </a:ext>
          </a:extLst>
        </xdr:cNvPr>
        <xdr:cNvPicPr>
          <a:picLocks noChangeAspect="1"/>
        </xdr:cNvPicPr>
      </xdr:nvPicPr>
      <xdr:blipFill>
        <a:blip xmlns:r="http://schemas.openxmlformats.org/officeDocument/2006/relationships" r:embed="rId1"/>
        <a:stretch>
          <a:fillRect/>
        </a:stretch>
      </xdr:blipFill>
      <xdr:spPr>
        <a:xfrm>
          <a:off x="13582650" y="10435318"/>
          <a:ext cx="3483903" cy="1565947"/>
        </a:xfrm>
        <a:prstGeom prst="rect">
          <a:avLst/>
        </a:prstGeom>
      </xdr:spPr>
    </xdr:pic>
    <xdr:clientData/>
  </xdr:twoCellAnchor>
  <xdr:twoCellAnchor>
    <xdr:from>
      <xdr:col>21</xdr:col>
      <xdr:colOff>258989</xdr:colOff>
      <xdr:row>58</xdr:row>
      <xdr:rowOff>97966</xdr:rowOff>
    </xdr:from>
    <xdr:to>
      <xdr:col>23</xdr:col>
      <xdr:colOff>0</xdr:colOff>
      <xdr:row>61</xdr:row>
      <xdr:rowOff>263520</xdr:rowOff>
    </xdr:to>
    <xdr:sp macro="" textlink="">
      <xdr:nvSpPr>
        <xdr:cNvPr id="3" name="Arrow: Right 2">
          <a:extLst>
            <a:ext uri="{FF2B5EF4-FFF2-40B4-BE49-F238E27FC236}">
              <a16:creationId xmlns="" xmlns:a16="http://schemas.microsoft.com/office/drawing/2014/main" id="{C04A42C4-9DF4-A8EE-FBCC-408C405A88BC}"/>
            </a:ext>
          </a:extLst>
        </xdr:cNvPr>
        <xdr:cNvSpPr/>
      </xdr:nvSpPr>
      <xdr:spPr>
        <a:xfrm>
          <a:off x="12660539" y="11146966"/>
          <a:ext cx="922111" cy="660854"/>
        </a:xfrm>
        <a:prstGeom prst="rightArrow">
          <a:avLst/>
        </a:prstGeom>
        <a:solidFill>
          <a:srgbClr val="FF000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greenclimate-my.sharepoint.com/Users/USER/Downloads/Copy%20of%20Annex%203_Burundi%20SAP_Detailed%20Budget_Oct%202020.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Users\mb761b\Desktop\C:\Documents%20and%20Settings\jumabayeva\My%20Documents\Georgia\2009\IFAD\Appraisal\WP4-Annexes%201-4.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Users\mb761b\Desktop\C:\Documents%20and%20Settings\Sabrie\My%20Documents\Financial%20Analyst\CONGO\World%20Bank\Models\Anx%208-%20AP2bis%20Budgets%20cultures%20-%20&#233;conomique%20-30%20mars%200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Users\mb761b\Desktop\C:\Documents%20and%20Settings\Traniello\Local%20Settings\Temp\PRODER%203%20Appui%20Initiatives%20Base%20(Sylvie+Marc)-%2013%20Nov.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F:\Users\Davis%20Atugonza\Downloads\Users\BACKHOUSE\Downloads\Users\Davis%20Atugonza\Downloads\NOPP_Financial%20Analysis_Updated%203%20August2017%20FINAL%20EXAMPLES%20FROM%20NOPP.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Users\User\AppData\Roaming\Microsoft\Excel\Investment%20Type%202%20-%20Irrigation%20Schemes%20-%20Low%20and%20High%20Carbon%20Values.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Users\User\AppData\Roaming\Microsoft\Excel\Investment%20Type%208%20-%20Run%20Off%20Collection.xlsx"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All%202023%20Contracts\GCF%20EFA%20For%20PAXINA\02%20All%20August%202023%20Files\03%20August%202023%20Files\Investment%20Type%201%20-%20Improved%20Drainage%20fn%20revised.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C:\All%202023%20Contracts\GCF%20EFA%20For%20PAXINA\02%20All%20August%202023%20Files\03%20August%202023%20Files\Investment%20Type%203%20-%20De-Silting%20System%20-%20Low%20and%20High%20Carbon%20Values.xlsx"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C:\All%202023%20Contracts\GCF%20EFA%20For%20PAXINA\02%20All%20August%202023%20Files\03%20August%202023%20Files\Investment%20Type%204%20-%20Landscape%20Restoration%20-%20Low%20and%20High%20Carbon%20Values.xlsx"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C:\All%202023%20Contracts\GCF%20EFA%20For%20PAXINA\02%20All%20August%202023%20Files\03%20August%202023%20Files\Investment%20Type%205%20-%20Water%20Tanks%20-%20Low%20and%20High%20Carbon%20Value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mb761b\Desktop\C:\Users\amado\Desktop\EFA\Vietnam%20IFAD\Other%20projects%20Vietnam\SRDP\SRDP-WP2-Appendices%201-4-%20Fin%20Models.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C:\All%202023%20Contracts\GCF%20EFA%20For%20PAXINA\02%20All%20August%202023%20Files\03%20August%202023%20Files\Investment%20Type%206%20-%20Irrigation%20Perimeters%20-%20Low%20and%20High%20Carbon%20Values.xlsx"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C:\All%202023%20Contracts\GCF%20EFA%20For%20PAXINA\02%20All%20August%202023%20Files\03%20August%202023%20Files\Investment%20Type%207%20-%20Ridge%20Ditches.xlsx"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C:\All%202023%20Contracts\GCF%20EFA%20For%20PAXINA\02%20All%20August%202023%20Files\03%20August%202023%20Files\Investment%20Type%208%20-%20Run%20Off%20Collection.xlsx"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C:\All%202023%20Contracts\GCF%20EFA%20For%20PAXINA\02%20All%20August%202023%20Files\03%20August%202023%20Files\Investment%20Type%209%20-%20Paving%20and%20Encroachment.xlsx"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C:\All%202023%20Contracts\GCF%20EFA%20For%20PAXINA\02%20All%20August%202023%20Files\03%20August%202023%20Files\Investment%20Type%2010%20-%20Storage%20Infrastructure.xlsx"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C:\Users\User\AppData\Roaming\Microsoft\Excel\Investment%20Type%204%20-%20Landscape%20Restoration%20-%20Low%20and%20High%20Carbon%20Values.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All%202023%20Contracts\Eritrea%20FVCDP%20Mission%202023\03%20All%20May%202023%20Files\22%20May%202023%20EFA\FVCP%20Economic%20&amp;%20Financial%20Analysis%20Worksheet%20Sh%2022.02.202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All%202023%20Contracts\Sierra%20Leone%20RFCIP%202023\05%20All%20May%202023%20Files%20Final%20Submissions%20sent%20to%20Claudia\16%20May%202023%20EFA%20Deliverables\RFCIP%20Scaling%20Up%20EFA%20working%2016%20April%202023%20DA%20vf.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mb761b\Desktop\C:\Users\muenzel\Documents\Asia\Vietnam\vnSAT\EFA\NIR\xlsx19-07-TS%20Model.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Documents%20and%20Settings\mawirac\Desktop\Loan%20amortization%20schedule1.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G:\Users\Branca.FAODOMAIN\AppData\Local\Microsoft\Windows\Temporary%20Internet%20Files\Content.Outlook\XD89ZI30\Jens%20Doc\Moldova\Fourth%20trip%20Oct%20Nov%202006\Appraisal%20Report%20RFSEDP\App7-Project%20Analysis\Enterprises.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Users\mb761b\Desktop\C:\Users\muenzel\Documents\Asia\Vietnam\vnSAT\EFA\Rice\competitiveness\m-VN%20Assumptions%20-%2029%20Nov.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Users\mb761b\Desktop\C:\Nouveau%20Dossier\MALI04\FICHES%20mali.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Instructions"/>
      <sheetName val="Dashboard"/>
      <sheetName val="Detailed Budget Plan"/>
      <sheetName val="Detailed Budget Notes "/>
      <sheetName val="Sheet1"/>
      <sheetName val="Title Lists"/>
    </sheetNames>
    <sheetDataSet>
      <sheetData sheetId="0"/>
      <sheetData sheetId="1"/>
      <sheetData sheetId="2"/>
      <sheetData sheetId="3"/>
      <sheetData sheetId="4"/>
      <sheetData sheetId="5"/>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Annex 1 Fin and Economic Prices"/>
    </sheetNames>
    <sheetDataSet>
      <sheetData sheetId="0"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1b.nominal prices"/>
    </sheetNames>
    <sheetDataSet>
      <sheetData sheetId="0"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5-12 formationCU"/>
    </sheetNames>
    <sheetDataSet>
      <sheetData sheetId="0"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T 1"/>
      <sheetName val="T 2-3"/>
      <sheetName val="T 4-8"/>
      <sheetName val="T 9-10"/>
      <sheetName val="Maintainace costs per "/>
      <sheetName val="T 13"/>
      <sheetName val="T 11-12"/>
      <sheetName val="T 14-15"/>
      <sheetName val="T 16-20"/>
      <sheetName val="T 21-22"/>
      <sheetName val="T 23"/>
      <sheetName val="T 24"/>
      <sheetName val="T 25 "/>
      <sheetName val="T 26"/>
      <sheetName val="T27"/>
      <sheetName val="T27-EF"/>
      <sheetName val="COMYRB F"/>
      <sheetName val="T28"/>
      <sheetName val="T29"/>
      <sheetName val="T30"/>
      <sheetName val="T 31"/>
      <sheetName val="T 32"/>
      <sheetName val="Example"/>
      <sheetName val="T33"/>
      <sheetName val="T34"/>
      <sheetName val="Economic costs"/>
      <sheetName val="T35"/>
      <sheetName val="SA"/>
      <sheetName val="Financial costs"/>
      <sheetName val="Import substitution benenfits"/>
      <sheetName val="Estimation of CPO prodn"/>
      <sheetName val="summary"/>
    </sheetNames>
    <sheetDataSet>
      <sheetData sheetId="0">
        <row r="68">
          <cell r="E68">
            <v>3550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Conversion factors"/>
      <sheetName val="CFs used"/>
      <sheetName val="WOP_Financial and Economic  V"/>
      <sheetName val="WP_Financial and Economic  V"/>
      <sheetName val="Incremental Fin. and Econ V"/>
      <sheetName val="WOP_Financial and Economic  M"/>
      <sheetName val="WP_Financial and Economic  M"/>
      <sheetName val="Incremental Fin. and Econ M"/>
      <sheetName val="WOP_Financial and Economic R"/>
      <sheetName val="WP-Financial and Economic R"/>
      <sheetName val="Incremental Fin. and Econ R"/>
      <sheetName val="WOP_Financial and Economic O"/>
      <sheetName val="WP-Financial and Economic O"/>
      <sheetName val="Incremental Fin. and Econ O"/>
      <sheetName val="WOP_Financial and Economic C"/>
      <sheetName val="WP-Financial and Economic C"/>
      <sheetName val="Incremental Fin. and Econ C"/>
      <sheetName val="Overall Ec Incremental Benefits"/>
      <sheetName val="Overall Fn Incremental Benefits"/>
      <sheetName val="Econ Sensitivity Analysis"/>
      <sheetName val="Fin Sensitivity Analysis"/>
      <sheetName val="Carbon and SCC"/>
      <sheetName val="Calculations"/>
      <sheetName val="Detailed Budget Notes "/>
      <sheetName val="Detailed Budget"/>
      <sheetName val="Vanilla Crop Budget"/>
      <sheetName val="Maize Crop Budget"/>
      <sheetName val="Rice Crop Budget"/>
      <sheetName val="Onion Crop Budget"/>
      <sheetName val="Cassava Crop Budg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11">
          <cell r="C11">
            <v>3190471.2488867743</v>
          </cell>
          <cell r="D11">
            <v>10068810.354264881</v>
          </cell>
          <cell r="E11">
            <v>18656013.363565154</v>
          </cell>
          <cell r="F11">
            <v>33136037.820113838</v>
          </cell>
          <cell r="G11">
            <v>41420047.275142297</v>
          </cell>
          <cell r="H11">
            <v>41420047.275142297</v>
          </cell>
          <cell r="I11">
            <v>41420047.275142297</v>
          </cell>
          <cell r="J11">
            <v>41420047.275142297</v>
          </cell>
          <cell r="K11">
            <v>41420047.275142297</v>
          </cell>
          <cell r="L11">
            <v>41420047.275142297</v>
          </cell>
          <cell r="M11">
            <v>41420047.275142297</v>
          </cell>
          <cell r="N11">
            <v>41420047.275142297</v>
          </cell>
          <cell r="O11">
            <v>41420047.275142297</v>
          </cell>
          <cell r="P11">
            <v>41420047.275142297</v>
          </cell>
          <cell r="Q11">
            <v>41420047.275142297</v>
          </cell>
          <cell r="R11">
            <v>41420047.275142297</v>
          </cell>
          <cell r="S11">
            <v>41420047.275142297</v>
          </cell>
          <cell r="T11">
            <v>41420047.275142297</v>
          </cell>
          <cell r="U11">
            <v>41420047.275142297</v>
          </cell>
          <cell r="V11">
            <v>41420047.275142297</v>
          </cell>
        </row>
        <row r="19">
          <cell r="C19">
            <v>7645486.3540386381</v>
          </cell>
          <cell r="D19">
            <v>14050772.708077276</v>
          </cell>
          <cell r="E19">
            <v>20456059.062115915</v>
          </cell>
          <cell r="F19">
            <v>26861345.416154556</v>
          </cell>
          <cell r="G19">
            <v>33266631.770193197</v>
          </cell>
          <cell r="H19">
            <v>32026431.770193197</v>
          </cell>
          <cell r="I19">
            <v>32026431.770193197</v>
          </cell>
          <cell r="J19">
            <v>32026431.770193197</v>
          </cell>
          <cell r="K19">
            <v>32026431.770193197</v>
          </cell>
          <cell r="L19">
            <v>32026431.770193197</v>
          </cell>
          <cell r="M19">
            <v>32026431.770193197</v>
          </cell>
          <cell r="N19">
            <v>32026431.770193197</v>
          </cell>
          <cell r="O19">
            <v>32026431.770193197</v>
          </cell>
          <cell r="P19">
            <v>32026431.770193197</v>
          </cell>
          <cell r="Q19">
            <v>32026431.770193197</v>
          </cell>
          <cell r="R19">
            <v>32026431.770193197</v>
          </cell>
          <cell r="S19">
            <v>32026431.770193197</v>
          </cell>
          <cell r="T19">
            <v>32026431.770193197</v>
          </cell>
          <cell r="U19">
            <v>32026431.770193197</v>
          </cell>
          <cell r="V19">
            <v>32026431.770193197</v>
          </cell>
        </row>
      </sheetData>
      <sheetData sheetId="18">
        <row r="11">
          <cell r="C11">
            <v>3264939.2574</v>
          </cell>
          <cell r="D11">
            <v>10235178.514799997</v>
          </cell>
          <cell r="E11">
            <v>19063917.772199996</v>
          </cell>
          <cell r="F11">
            <v>33673357.029600002</v>
          </cell>
          <cell r="G11">
            <v>42091696.287</v>
          </cell>
          <cell r="H11">
            <v>42091696.287</v>
          </cell>
          <cell r="I11">
            <v>42091696.287</v>
          </cell>
          <cell r="J11">
            <v>42091696.287</v>
          </cell>
          <cell r="K11">
            <v>42091696.287</v>
          </cell>
          <cell r="L11">
            <v>42091696.287</v>
          </cell>
          <cell r="M11">
            <v>42091696.287</v>
          </cell>
          <cell r="N11">
            <v>42091696.287</v>
          </cell>
          <cell r="O11">
            <v>42091696.287</v>
          </cell>
          <cell r="P11">
            <v>42091696.287</v>
          </cell>
          <cell r="Q11">
            <v>42091696.287</v>
          </cell>
          <cell r="R11">
            <v>42091696.287</v>
          </cell>
          <cell r="S11">
            <v>42091696.287</v>
          </cell>
          <cell r="T11">
            <v>42091696.287</v>
          </cell>
          <cell r="U11">
            <v>42091696.287</v>
          </cell>
          <cell r="V11">
            <v>42091696.287</v>
          </cell>
        </row>
        <row r="19">
          <cell r="C19">
            <v>8146552.5</v>
          </cell>
          <cell r="D19">
            <v>15052905</v>
          </cell>
          <cell r="E19">
            <v>21959257.5</v>
          </cell>
          <cell r="F19">
            <v>28865610</v>
          </cell>
          <cell r="G19">
            <v>35771962.5</v>
          </cell>
          <cell r="H19">
            <v>34531762.5</v>
          </cell>
          <cell r="I19">
            <v>34531762.5</v>
          </cell>
          <cell r="J19">
            <v>34531762.5</v>
          </cell>
          <cell r="K19">
            <v>34531762.5</v>
          </cell>
          <cell r="L19">
            <v>34531762.5</v>
          </cell>
          <cell r="M19">
            <v>34531762.5</v>
          </cell>
          <cell r="N19">
            <v>34531762.5</v>
          </cell>
          <cell r="O19">
            <v>34531762.5</v>
          </cell>
          <cell r="P19">
            <v>34531762.5</v>
          </cell>
          <cell r="Q19">
            <v>34531762.5</v>
          </cell>
          <cell r="R19">
            <v>34531762.5</v>
          </cell>
          <cell r="S19">
            <v>34531762.5</v>
          </cell>
          <cell r="T19">
            <v>34531762.5</v>
          </cell>
          <cell r="U19">
            <v>34531762.5</v>
          </cell>
          <cell r="V19">
            <v>34531762.5</v>
          </cell>
        </row>
      </sheetData>
      <sheetData sheetId="19" refreshError="1"/>
      <sheetData sheetId="20" refreshError="1"/>
      <sheetData sheetId="21" refreshError="1"/>
      <sheetData sheetId="22">
        <row r="3">
          <cell r="B3">
            <v>0.06</v>
          </cell>
        </row>
      </sheetData>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Conversion factors"/>
      <sheetName val="CFs used"/>
      <sheetName val="WOP_Financial and Economic  V"/>
      <sheetName val="WP_Financial and Economic  V"/>
      <sheetName val="Incremental Fin. and Econ V"/>
      <sheetName val="WOP_Financial and Economic  M"/>
      <sheetName val="WP_Financial and Economic  M"/>
      <sheetName val="Incremental Fin. and Econ M"/>
      <sheetName val="WOP_Financial and Economic R"/>
      <sheetName val="WP-Financial and Economic R"/>
      <sheetName val="Incremental Fin. and Econ R"/>
      <sheetName val="WOP_Financial and Economic O"/>
      <sheetName val="WP-Financial and Economic O"/>
      <sheetName val="Incremental Fin. and Econ O"/>
      <sheetName val="WOP_Financial and Economic C"/>
      <sheetName val="WP-Financial and Economic C"/>
      <sheetName val="Incremental Fin. and Econ C"/>
      <sheetName val="Overall Incremental Benefits"/>
      <sheetName val="Sensitivity Analysis"/>
      <sheetName val="Calculations"/>
      <sheetName val="Detailed Budget Notes "/>
      <sheetName val="Detailed Budget"/>
      <sheetName val="Vanilla Crop Budget"/>
      <sheetName val="Maize Crop Budget"/>
      <sheetName val="Rice Crop Budget"/>
      <sheetName val="Onion Crop Budget"/>
      <sheetName val="Cassava Crop Budg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10">
          <cell r="B10">
            <v>80000</v>
          </cell>
        </row>
      </sheetData>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Conversion factors"/>
      <sheetName val="CFs used"/>
      <sheetName val="WOP_Financial and Economic  V"/>
      <sheetName val="WP_Financial and Economic  V"/>
      <sheetName val="Incremental Fin. and Econ V"/>
      <sheetName val="WOP_Financial and Economic  M"/>
      <sheetName val="WP_Financial and Economic  M"/>
      <sheetName val="Incremental Fin. and Econ M"/>
      <sheetName val="WOP_Financial and Economic R"/>
      <sheetName val="WP-Financial and Economic R"/>
      <sheetName val="Incremental Fin. and Econ R"/>
      <sheetName val="WOP_Financial and Economic O"/>
      <sheetName val="WP-Financial and Economic O"/>
      <sheetName val="Incremental Fin. and Econ O"/>
      <sheetName val="WOP_Financial and Economic C"/>
      <sheetName val="WP-Financial and Economic C"/>
      <sheetName val="Incremental Fin. and Econ C"/>
      <sheetName val="Overall Ec Incremental Results"/>
      <sheetName val="Overall Fn Incremental Benefits"/>
      <sheetName val="Summary of Indicators"/>
      <sheetName val="Econ Sensitivity Analysis"/>
      <sheetName val="Fin Sensitivity Analysis"/>
      <sheetName val="Calculations"/>
      <sheetName val="Vanilla Crop Budget"/>
      <sheetName val="Maize Crop Budget"/>
      <sheetName val="Rice Crop Budget"/>
      <sheetName val="Onion Crop Budget"/>
      <sheetName val="Cassava Crop Budget"/>
      <sheetName val="Consolidated Sensitivity"/>
      <sheetName val="Crop Mix Econ"/>
      <sheetName val="Crop Mix Fin"/>
      <sheetName val="Crop Mix Summar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11">
          <cell r="C11">
            <v>580442.222906532</v>
          </cell>
          <cell r="D11">
            <v>1847152.262904125</v>
          </cell>
          <cell r="E11">
            <v>3431861.3057635305</v>
          </cell>
          <cell r="F11">
            <v>6113153.4878458511</v>
          </cell>
          <cell r="G11">
            <v>7641441.8598073134</v>
          </cell>
          <cell r="H11">
            <v>9169730.2317687776</v>
          </cell>
          <cell r="I11">
            <v>9169730.2317687776</v>
          </cell>
          <cell r="J11">
            <v>9169730.2317687776</v>
          </cell>
          <cell r="K11">
            <v>9169730.2317687776</v>
          </cell>
          <cell r="L11">
            <v>9169730.2317687776</v>
          </cell>
          <cell r="M11">
            <v>9169730.2317687776</v>
          </cell>
          <cell r="N11">
            <v>9169730.2317687776</v>
          </cell>
          <cell r="O11">
            <v>9169730.2317687776</v>
          </cell>
          <cell r="P11">
            <v>9169730.2317687776</v>
          </cell>
          <cell r="Q11">
            <v>9169730.2317687776</v>
          </cell>
          <cell r="R11">
            <v>9169730.2317687776</v>
          </cell>
          <cell r="S11">
            <v>9169730.2317687776</v>
          </cell>
          <cell r="T11">
            <v>9169730.2317687776</v>
          </cell>
          <cell r="U11">
            <v>9169730.2317687776</v>
          </cell>
          <cell r="V11">
            <v>9169730.2317687776</v>
          </cell>
        </row>
        <row r="19">
          <cell r="C19">
            <v>1480663.6620221343</v>
          </cell>
          <cell r="D19">
            <v>2693360.6573776016</v>
          </cell>
          <cell r="E19">
            <v>3906057.6527330684</v>
          </cell>
          <cell r="F19">
            <v>5118754.6480885362</v>
          </cell>
          <cell r="G19">
            <v>6331451.6434440035</v>
          </cell>
          <cell r="H19">
            <v>7544148.6387994718</v>
          </cell>
          <cell r="I19">
            <v>7276181.9721328039</v>
          </cell>
          <cell r="J19">
            <v>7276181.9721328039</v>
          </cell>
          <cell r="K19">
            <v>7276181.9721328039</v>
          </cell>
          <cell r="L19">
            <v>7276181.9721328039</v>
          </cell>
          <cell r="M19">
            <v>7276181.9721328039</v>
          </cell>
          <cell r="N19">
            <v>7276181.9721328039</v>
          </cell>
          <cell r="O19">
            <v>7276181.9721328039</v>
          </cell>
          <cell r="P19">
            <v>7276181.9721328039</v>
          </cell>
          <cell r="Q19">
            <v>7276181.9721328039</v>
          </cell>
          <cell r="R19">
            <v>7276181.9721328039</v>
          </cell>
          <cell r="S19">
            <v>7276181.9721328039</v>
          </cell>
          <cell r="T19">
            <v>7276181.9721328039</v>
          </cell>
          <cell r="U19">
            <v>7276181.9721328039</v>
          </cell>
          <cell r="V19">
            <v>7276181.9721328039</v>
          </cell>
        </row>
      </sheetData>
      <sheetData sheetId="18">
        <row r="11">
          <cell r="C11">
            <v>594299.82291666663</v>
          </cell>
          <cell r="D11">
            <v>1878111.3749999998</v>
          </cell>
          <cell r="E11">
            <v>3507767.40625</v>
          </cell>
          <cell r="F11">
            <v>6213142.1250000009</v>
          </cell>
          <cell r="G11">
            <v>7766427.6562500009</v>
          </cell>
          <cell r="H11">
            <v>9319713.1875000037</v>
          </cell>
          <cell r="I11">
            <v>9319713.1875000037</v>
          </cell>
          <cell r="J11">
            <v>9319713.1875000037</v>
          </cell>
          <cell r="K11">
            <v>9319713.1875000037</v>
          </cell>
          <cell r="L11">
            <v>9319713.1875000037</v>
          </cell>
          <cell r="M11">
            <v>9319713.1875000037</v>
          </cell>
          <cell r="N11">
            <v>9319713.1875000037</v>
          </cell>
          <cell r="O11">
            <v>9319713.1875000037</v>
          </cell>
          <cell r="P11">
            <v>9319713.1875000037</v>
          </cell>
          <cell r="Q11">
            <v>9319713.1875000037</v>
          </cell>
          <cell r="R11">
            <v>9319713.1875000037</v>
          </cell>
          <cell r="S11">
            <v>9319713.1875000037</v>
          </cell>
          <cell r="T11">
            <v>9319713.1875000037</v>
          </cell>
          <cell r="U11">
            <v>9319713.1875000037</v>
          </cell>
          <cell r="V11">
            <v>9319713.1875000037</v>
          </cell>
        </row>
        <row r="19">
          <cell r="C19">
            <v>1549471.1932291668</v>
          </cell>
          <cell r="D19">
            <v>2830975.7197916671</v>
          </cell>
          <cell r="E19">
            <v>4112480.2463541673</v>
          </cell>
          <cell r="F19">
            <v>5393984.7729166672</v>
          </cell>
          <cell r="G19">
            <v>6675489.2994791679</v>
          </cell>
          <cell r="H19">
            <v>7956993.8260416687</v>
          </cell>
          <cell r="I19">
            <v>7689027.1593750026</v>
          </cell>
          <cell r="J19">
            <v>7689027.1593750026</v>
          </cell>
          <cell r="K19">
            <v>7689027.1593750026</v>
          </cell>
          <cell r="L19">
            <v>7689027.1593750026</v>
          </cell>
          <cell r="M19">
            <v>7689027.1593750026</v>
          </cell>
          <cell r="N19">
            <v>7689027.1593750026</v>
          </cell>
          <cell r="O19">
            <v>7689027.1593750026</v>
          </cell>
          <cell r="P19">
            <v>7689027.1593750026</v>
          </cell>
          <cell r="Q19">
            <v>7689027.1593750026</v>
          </cell>
          <cell r="R19">
            <v>7689027.1593750026</v>
          </cell>
          <cell r="S19">
            <v>7689027.1593750026</v>
          </cell>
          <cell r="T19">
            <v>7689027.1593750026</v>
          </cell>
          <cell r="U19">
            <v>7689027.1593750026</v>
          </cell>
          <cell r="V19">
            <v>7689027.1593750026</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Conversion factors"/>
      <sheetName val="CFs used"/>
      <sheetName val="WOP_Financial and Economic  V"/>
      <sheetName val="WP_Financial and Economic  V"/>
      <sheetName val="Incremental Fin. and Econ V"/>
      <sheetName val="WOP_Financial and Economic  M"/>
      <sheetName val="WP_Financial and Economic  M"/>
      <sheetName val="Incremental Fin. and Econ M"/>
      <sheetName val="WOP_Financial and Economic R"/>
      <sheetName val="WP-Financial and Economic R"/>
      <sheetName val="Incremental Fin. and Econ R"/>
      <sheetName val="WOP_Financial and Economic O"/>
      <sheetName val="WP-Financial and Economic O"/>
      <sheetName val="Incremental Fin. and Econ O"/>
      <sheetName val="WOP_Financial and Economic C"/>
      <sheetName val="WP-Financial and Economic C"/>
      <sheetName val="Incremental Fin. and Econ C"/>
      <sheetName val="Overall Ec Incremental Benefits"/>
      <sheetName val="Overall Fn Incremental Benefits"/>
      <sheetName val="Summary of Indicators"/>
      <sheetName val="Sensitivity Analysis"/>
      <sheetName val="Fin Sensitivity Analysis"/>
      <sheetName val="Carbon and SCC"/>
      <sheetName val="Calculations"/>
      <sheetName val="Vanilla Crop Budget"/>
      <sheetName val="Maize Crop Budget"/>
      <sheetName val="Rice Crop Budget"/>
      <sheetName val="Onion Crop Budget"/>
      <sheetName val="Cassava Crop Budge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ow r="11">
          <cell r="C11">
            <v>864460.8007084222</v>
          </cell>
          <cell r="D11">
            <v>2848555.2125306581</v>
          </cell>
          <cell r="E11">
            <v>5573702.8944390398</v>
          </cell>
          <cell r="F11">
            <v>9610478.9718577098</v>
          </cell>
          <cell r="G11">
            <v>12013098.714822138</v>
          </cell>
          <cell r="H11">
            <v>14415718.457786564</v>
          </cell>
          <cell r="I11">
            <v>14415718.457786564</v>
          </cell>
          <cell r="J11">
            <v>14415718.457786564</v>
          </cell>
          <cell r="K11">
            <v>14415718.457786564</v>
          </cell>
          <cell r="L11">
            <v>14415718.457786564</v>
          </cell>
          <cell r="M11">
            <v>14415718.457786564</v>
          </cell>
          <cell r="N11">
            <v>14415718.457786564</v>
          </cell>
          <cell r="O11">
            <v>14415718.457786564</v>
          </cell>
          <cell r="P11">
            <v>14415718.457786564</v>
          </cell>
          <cell r="Q11">
            <v>14415718.457786564</v>
          </cell>
          <cell r="R11">
            <v>14415718.457786564</v>
          </cell>
          <cell r="S11">
            <v>14415718.457786564</v>
          </cell>
          <cell r="T11">
            <v>14415718.457786564</v>
          </cell>
          <cell r="U11">
            <v>14415718.457786564</v>
          </cell>
          <cell r="V11">
            <v>14415718.457786564</v>
          </cell>
        </row>
        <row r="20">
          <cell r="C20">
            <v>2175060.1418465516</v>
          </cell>
          <cell r="D20">
            <v>4082153.6170264361</v>
          </cell>
          <cell r="E20">
            <v>5989247.0922063207</v>
          </cell>
          <cell r="F20">
            <v>7896340.5673862053</v>
          </cell>
          <cell r="G20">
            <v>9803434.0425660908</v>
          </cell>
          <cell r="H20">
            <v>11710527.517745975</v>
          </cell>
          <cell r="I20">
            <v>11442560.851079307</v>
          </cell>
          <cell r="J20">
            <v>11442560.851079307</v>
          </cell>
          <cell r="K20">
            <v>11442560.851079307</v>
          </cell>
          <cell r="L20">
            <v>11442560.851079307</v>
          </cell>
          <cell r="M20">
            <v>11442560.851079307</v>
          </cell>
          <cell r="N20">
            <v>11442560.851079307</v>
          </cell>
          <cell r="O20">
            <v>11442560.851079307</v>
          </cell>
          <cell r="P20">
            <v>11442560.851079307</v>
          </cell>
          <cell r="Q20">
            <v>11442560.851079307</v>
          </cell>
          <cell r="R20">
            <v>11442560.851079307</v>
          </cell>
          <cell r="S20">
            <v>11442560.851079307</v>
          </cell>
          <cell r="T20">
            <v>11442560.851079307</v>
          </cell>
          <cell r="U20">
            <v>11442560.851079307</v>
          </cell>
          <cell r="V20">
            <v>11442560.851079307</v>
          </cell>
        </row>
      </sheetData>
      <sheetData sheetId="18">
        <row r="11">
          <cell r="C11">
            <v>890319.25000000012</v>
          </cell>
          <cell r="D11">
            <v>2904222.7333333334</v>
          </cell>
          <cell r="E11">
            <v>5690406.1499999994</v>
          </cell>
          <cell r="F11">
            <v>9780247.4000000004</v>
          </cell>
          <cell r="G11">
            <v>12225309.250000002</v>
          </cell>
          <cell r="H11">
            <v>14670371.1</v>
          </cell>
          <cell r="I11">
            <v>14670371.1</v>
          </cell>
          <cell r="J11">
            <v>14670371.1</v>
          </cell>
          <cell r="K11">
            <v>14670371.1</v>
          </cell>
          <cell r="L11">
            <v>14670371.1</v>
          </cell>
          <cell r="M11">
            <v>14670371.1</v>
          </cell>
          <cell r="N11">
            <v>14670371.1</v>
          </cell>
          <cell r="O11">
            <v>14670371.1</v>
          </cell>
          <cell r="P11">
            <v>14670371.1</v>
          </cell>
          <cell r="Q11">
            <v>14670371.1</v>
          </cell>
          <cell r="R11">
            <v>14670371.1</v>
          </cell>
          <cell r="S11">
            <v>14670371.1</v>
          </cell>
          <cell r="T11">
            <v>14670371.1</v>
          </cell>
          <cell r="U11">
            <v>14670371.1</v>
          </cell>
          <cell r="V11">
            <v>14670371.1</v>
          </cell>
        </row>
        <row r="19">
          <cell r="C19">
            <v>2324242.3791666669</v>
          </cell>
          <cell r="D19">
            <v>4380518.0916666668</v>
          </cell>
          <cell r="E19">
            <v>6436793.8041666672</v>
          </cell>
          <cell r="F19">
            <v>8493069.5166666675</v>
          </cell>
          <cell r="G19">
            <v>10549345.229166668</v>
          </cell>
          <cell r="H19">
            <v>12605620.941666668</v>
          </cell>
          <cell r="I19">
            <v>12337654.275000002</v>
          </cell>
          <cell r="J19">
            <v>12337654.275000002</v>
          </cell>
          <cell r="K19">
            <v>12337654.275000002</v>
          </cell>
          <cell r="L19">
            <v>12337654.275000002</v>
          </cell>
          <cell r="M19">
            <v>12337654.275000002</v>
          </cell>
          <cell r="N19">
            <v>12337654.275000002</v>
          </cell>
          <cell r="O19">
            <v>12337654.275000002</v>
          </cell>
          <cell r="P19">
            <v>12337654.275000002</v>
          </cell>
          <cell r="Q19">
            <v>12337654.275000002</v>
          </cell>
          <cell r="R19">
            <v>12337654.275000002</v>
          </cell>
          <cell r="S19">
            <v>12337654.275000002</v>
          </cell>
          <cell r="T19">
            <v>12337654.275000002</v>
          </cell>
          <cell r="U19">
            <v>12337654.275000002</v>
          </cell>
          <cell r="V19">
            <v>12337654.275000002</v>
          </cell>
        </row>
      </sheetData>
      <sheetData sheetId="19"/>
      <sheetData sheetId="20"/>
      <sheetData sheetId="21"/>
      <sheetData sheetId="22"/>
      <sheetData sheetId="23"/>
      <sheetData sheetId="24"/>
      <sheetData sheetId="25"/>
      <sheetData sheetId="26"/>
      <sheetData sheetId="27"/>
      <sheetData sheetId="28"/>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Conversion factors"/>
      <sheetName val="CFs used"/>
      <sheetName val="WOP_Financial and Economic  V"/>
      <sheetName val="WP_Financial and Economic  V"/>
      <sheetName val="Incremental Fin. and Econ V"/>
      <sheetName val="WOP_Financial and Economic  M"/>
      <sheetName val="WP_Financial and Economic  M"/>
      <sheetName val="Incremental Fin. and Econ M"/>
      <sheetName val="WOP_Financial and Economic R"/>
      <sheetName val="WP-Financial and Economic R"/>
      <sheetName val="Incremental Fin. and Econ R"/>
      <sheetName val="WOP_Financial and Economic O"/>
      <sheetName val="WP-Financial and Economic O"/>
      <sheetName val="Incremental Fin. and Econ O"/>
      <sheetName val="WOP_Financial and Economic C"/>
      <sheetName val="WP-Financial and Economic C"/>
      <sheetName val="Incremental Fin. and Econ C"/>
      <sheetName val="Overall Incremental Benefits"/>
      <sheetName val="Overall Fn Incremental Benefits"/>
      <sheetName val="Summary of Indicators"/>
      <sheetName val="Sensitivity Analysis"/>
      <sheetName val="Fin Sensitivity Analysis"/>
      <sheetName val="Carbon and SCC"/>
      <sheetName val="Interventions"/>
      <sheetName val="Vanilla Crop Budget"/>
      <sheetName val="Maize Crop Budget"/>
      <sheetName val="Rice Crop Budget"/>
      <sheetName val="Onion Crop Budget"/>
      <sheetName val="Cassava Crop Budge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ow r="5">
          <cell r="C5">
            <v>177135.14602547218</v>
          </cell>
        </row>
        <row r="11">
          <cell r="C11">
            <v>814354.19379777578</v>
          </cell>
          <cell r="D11">
            <v>2668508.1104607955</v>
          </cell>
          <cell r="E11">
            <v>5004478.698126561</v>
          </cell>
          <cell r="F11">
            <v>9001938.8906755336</v>
          </cell>
          <cell r="G11">
            <v>11252423.613344416</v>
          </cell>
          <cell r="H11">
            <v>13502908.336013298</v>
          </cell>
          <cell r="I11">
            <v>13502908.336013298</v>
          </cell>
          <cell r="J11">
            <v>13502908.336013298</v>
          </cell>
          <cell r="K11">
            <v>13502908.336013298</v>
          </cell>
          <cell r="L11">
            <v>13502908.336013298</v>
          </cell>
          <cell r="M11">
            <v>13502908.336013298</v>
          </cell>
          <cell r="N11">
            <v>13502908.336013298</v>
          </cell>
          <cell r="O11">
            <v>13502908.336013298</v>
          </cell>
          <cell r="P11">
            <v>13502908.336013298</v>
          </cell>
          <cell r="Q11">
            <v>13502908.336013298</v>
          </cell>
          <cell r="R11">
            <v>13502908.336013298</v>
          </cell>
          <cell r="S11">
            <v>13502908.336013298</v>
          </cell>
          <cell r="T11">
            <v>13502908.336013298</v>
          </cell>
          <cell r="U11">
            <v>13502908.336013298</v>
          </cell>
          <cell r="V11">
            <v>13502908.336013298</v>
          </cell>
        </row>
        <row r="19">
          <cell r="C19">
            <v>2073946.4997235066</v>
          </cell>
          <cell r="D19">
            <v>3879926.3327803472</v>
          </cell>
          <cell r="E19">
            <v>5685906.1658371873</v>
          </cell>
          <cell r="F19">
            <v>7491885.9988940265</v>
          </cell>
          <cell r="G19">
            <v>9297865.8319508675</v>
          </cell>
          <cell r="H19">
            <v>11103845.665007707</v>
          </cell>
          <cell r="I19">
            <v>10835878.998341041</v>
          </cell>
          <cell r="J19">
            <v>10835878.998341041</v>
          </cell>
          <cell r="K19">
            <v>10835878.998341041</v>
          </cell>
          <cell r="L19">
            <v>10835878.998341041</v>
          </cell>
          <cell r="M19">
            <v>10835878.998341041</v>
          </cell>
          <cell r="N19">
            <v>10835878.998341041</v>
          </cell>
          <cell r="O19">
            <v>10835878.998341041</v>
          </cell>
          <cell r="P19">
            <v>10835878.998341041</v>
          </cell>
          <cell r="Q19">
            <v>10835878.998341041</v>
          </cell>
          <cell r="R19">
            <v>10835878.998341041</v>
          </cell>
          <cell r="S19">
            <v>10835878.998341041</v>
          </cell>
          <cell r="T19">
            <v>10835878.998341041</v>
          </cell>
          <cell r="U19">
            <v>10835878.998341041</v>
          </cell>
          <cell r="V19">
            <v>10835878.998341041</v>
          </cell>
        </row>
      </sheetData>
      <sheetData sheetId="18">
        <row r="5">
          <cell r="C5">
            <v>166971.65404040407</v>
          </cell>
        </row>
        <row r="11">
          <cell r="C11">
            <v>835350.55744949507</v>
          </cell>
          <cell r="D11">
            <v>2715415.856060606</v>
          </cell>
          <cell r="E11">
            <v>5119487.941287878</v>
          </cell>
          <cell r="F11">
            <v>9153436.8257575762</v>
          </cell>
          <cell r="G11">
            <v>11441796.032196973</v>
          </cell>
          <cell r="H11">
            <v>13730155.238636365</v>
          </cell>
          <cell r="I11">
            <v>13730155.238636365</v>
          </cell>
          <cell r="J11">
            <v>13730155.238636365</v>
          </cell>
          <cell r="K11">
            <v>13730155.238636365</v>
          </cell>
          <cell r="L11">
            <v>13730155.238636365</v>
          </cell>
          <cell r="M11">
            <v>13730155.238636365</v>
          </cell>
          <cell r="N11">
            <v>13730155.238636365</v>
          </cell>
          <cell r="O11">
            <v>13730155.238636365</v>
          </cell>
          <cell r="P11">
            <v>13730155.238636365</v>
          </cell>
          <cell r="Q11">
            <v>13730155.238636365</v>
          </cell>
          <cell r="R11">
            <v>13730155.238636365</v>
          </cell>
          <cell r="S11">
            <v>13730155.238636365</v>
          </cell>
          <cell r="T11">
            <v>13730155.238636365</v>
          </cell>
          <cell r="U11">
            <v>13730155.238636365</v>
          </cell>
          <cell r="V11">
            <v>13730155.238636365</v>
          </cell>
        </row>
        <row r="19">
          <cell r="C19">
            <v>2215222.8306502528</v>
          </cell>
          <cell r="D19">
            <v>4162478.9946338395</v>
          </cell>
          <cell r="E19">
            <v>6109735.1586174257</v>
          </cell>
          <cell r="F19">
            <v>8056991.322601011</v>
          </cell>
          <cell r="G19">
            <v>10004247.486584596</v>
          </cell>
          <cell r="H19">
            <v>11951503.650568184</v>
          </cell>
          <cell r="I19">
            <v>11683536.983901517</v>
          </cell>
          <cell r="J19">
            <v>11683536.983901517</v>
          </cell>
          <cell r="K19">
            <v>11683536.983901517</v>
          </cell>
          <cell r="L19">
            <v>11683536.983901517</v>
          </cell>
          <cell r="M19">
            <v>11683536.983901517</v>
          </cell>
          <cell r="N19">
            <v>11683536.983901517</v>
          </cell>
          <cell r="O19">
            <v>11683536.983901517</v>
          </cell>
          <cell r="P19">
            <v>11683536.983901517</v>
          </cell>
          <cell r="Q19">
            <v>11683536.983901517</v>
          </cell>
          <cell r="R19">
            <v>11683536.983901517</v>
          </cell>
          <cell r="S19">
            <v>11683536.983901517</v>
          </cell>
          <cell r="T19">
            <v>11683536.983901517</v>
          </cell>
          <cell r="U19">
            <v>11683536.983901517</v>
          </cell>
          <cell r="V19">
            <v>11683536.983901517</v>
          </cell>
        </row>
      </sheetData>
      <sheetData sheetId="19">
        <row r="4">
          <cell r="B4">
            <v>1607800.0000000002</v>
          </cell>
        </row>
      </sheetData>
      <sheetData sheetId="20"/>
      <sheetData sheetId="21">
        <row r="31">
          <cell r="C31">
            <v>0.31344381581014868</v>
          </cell>
        </row>
      </sheetData>
      <sheetData sheetId="22"/>
      <sheetData sheetId="23"/>
      <sheetData sheetId="24"/>
      <sheetData sheetId="25"/>
      <sheetData sheetId="26"/>
      <sheetData sheetId="27"/>
      <sheetData sheetId="28"/>
    </sheetDataSet>
  </externalBook>
</externalLink>
</file>

<file path=xl/externalLinks/externalLink19.xml><?xml version="1.0" encoding="utf-8"?>
<externalLink xmlns="http://schemas.openxmlformats.org/spreadsheetml/2006/main">
  <externalBook xmlns:r="http://schemas.openxmlformats.org/officeDocument/2006/relationships" r:id="rId1">
    <sheetNames>
      <sheetName val="Conversion factors"/>
      <sheetName val="CFs used"/>
      <sheetName val="WOP_Financial and Economic  V"/>
      <sheetName val="WP_Financial and Economic  V"/>
      <sheetName val="Incremental Fin. and Econ V"/>
      <sheetName val="WOP_Financial and Economic  M"/>
      <sheetName val="WP_Financial and Economic  M"/>
      <sheetName val="Incremental Fin. and Econ M"/>
      <sheetName val="WOP_Financial and Economic R"/>
      <sheetName val="WP-Financial and Economic R"/>
      <sheetName val="Incremental Fin. and Econ R"/>
      <sheetName val="WOP_Financial and Economic O"/>
      <sheetName val="WP-Financial and Economic O"/>
      <sheetName val="Incremental Fin. and Econ O"/>
      <sheetName val="WOP_Financial and Economic C"/>
      <sheetName val="WP-Financial and Economic C"/>
      <sheetName val="Incremental Fin. and Econ C"/>
      <sheetName val="Overall Incremental Benefits"/>
      <sheetName val="Overall Fn Incremental Benefits"/>
      <sheetName val="Summary of Indicators"/>
      <sheetName val="Sensitivity Analysis"/>
      <sheetName val="Fin Sensitivity Analysis"/>
      <sheetName val="Carbon and SCC"/>
      <sheetName val="Calculations"/>
      <sheetName val="Vanilla Crop Budget"/>
      <sheetName val="Maize Crop Budget"/>
      <sheetName val="Rice Crop Budget"/>
      <sheetName val="Onion Crop Budget"/>
      <sheetName val="Cassava Crop Budg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5">
          <cell r="C5">
            <v>77939.464251207741</v>
          </cell>
        </row>
        <row r="11">
          <cell r="C11">
            <v>360778.90554879908</v>
          </cell>
          <cell r="D11">
            <v>1179069.6891583055</v>
          </cell>
          <cell r="E11">
            <v>2209359.8080090201</v>
          </cell>
          <cell r="F11">
            <v>3970705.3530083452</v>
          </cell>
          <cell r="G11">
            <v>4963381.691260431</v>
          </cell>
          <cell r="H11">
            <v>5956058.0295125172</v>
          </cell>
          <cell r="I11">
            <v>5956058.0295125172</v>
          </cell>
          <cell r="J11">
            <v>5956058.0295125172</v>
          </cell>
          <cell r="K11">
            <v>5956058.0295125172</v>
          </cell>
          <cell r="L11">
            <v>5956058.0295125172</v>
          </cell>
          <cell r="M11">
            <v>5956058.0295125172</v>
          </cell>
          <cell r="N11">
            <v>5956058.0295125172</v>
          </cell>
          <cell r="O11">
            <v>5956058.0295125172</v>
          </cell>
          <cell r="P11">
            <v>5956058.0295125172</v>
          </cell>
          <cell r="Q11">
            <v>5956058.0295125172</v>
          </cell>
          <cell r="R11">
            <v>5956058.0295125172</v>
          </cell>
          <cell r="S11">
            <v>5956058.0295125172</v>
          </cell>
          <cell r="T11">
            <v>5956058.0295125172</v>
          </cell>
          <cell r="U11">
            <v>5956058.0295125172</v>
          </cell>
          <cell r="V11">
            <v>5956058.0295125172</v>
          </cell>
        </row>
        <row r="20">
          <cell r="C20">
            <v>1066177.5421228174</v>
          </cell>
          <cell r="D20">
            <v>1864388.4175789678</v>
          </cell>
          <cell r="E20">
            <v>2662599.2930351188</v>
          </cell>
          <cell r="F20">
            <v>3460810.1684912695</v>
          </cell>
          <cell r="G20">
            <v>4259021.043947421</v>
          </cell>
          <cell r="H20">
            <v>5057231.9194035716</v>
          </cell>
          <cell r="I20">
            <v>4789265.2527369047</v>
          </cell>
          <cell r="J20">
            <v>4789265.2527369047</v>
          </cell>
          <cell r="K20">
            <v>4789265.2527369047</v>
          </cell>
          <cell r="L20">
            <v>4789265.2527369047</v>
          </cell>
          <cell r="M20">
            <v>4789265.2527369047</v>
          </cell>
          <cell r="N20">
            <v>4789265.2527369047</v>
          </cell>
          <cell r="O20">
            <v>4789265.2527369047</v>
          </cell>
          <cell r="P20">
            <v>4789265.2527369047</v>
          </cell>
          <cell r="Q20">
            <v>4789265.2527369047</v>
          </cell>
          <cell r="R20">
            <v>4789265.2527369047</v>
          </cell>
          <cell r="S20">
            <v>4789265.2527369047</v>
          </cell>
          <cell r="T20">
            <v>4789265.2527369047</v>
          </cell>
          <cell r="U20">
            <v>4789265.2527369047</v>
          </cell>
          <cell r="V20">
            <v>4789265.2527369047</v>
          </cell>
        </row>
      </sheetData>
      <sheetData sheetId="18">
        <row r="5">
          <cell r="C5">
            <v>73467.527777777781</v>
          </cell>
        </row>
        <row r="11">
          <cell r="C11">
            <v>370017.30555555562</v>
          </cell>
          <cell r="D11">
            <v>1199709.097222222</v>
          </cell>
          <cell r="E11">
            <v>2259963.8749999995</v>
          </cell>
          <cell r="F11">
            <v>4037364.444444445</v>
          </cell>
          <cell r="G11">
            <v>5046705.555555556</v>
          </cell>
          <cell r="H11">
            <v>6056046.666666667</v>
          </cell>
          <cell r="I11">
            <v>6056046.666666667</v>
          </cell>
          <cell r="J11">
            <v>6056046.666666667</v>
          </cell>
          <cell r="K11">
            <v>6056046.666666667</v>
          </cell>
          <cell r="L11">
            <v>6056046.666666667</v>
          </cell>
          <cell r="M11">
            <v>6056046.666666667</v>
          </cell>
          <cell r="N11">
            <v>6056046.666666667</v>
          </cell>
          <cell r="O11">
            <v>6056046.666666667</v>
          </cell>
          <cell r="P11">
            <v>6056046.666666667</v>
          </cell>
          <cell r="Q11">
            <v>6056046.666666667</v>
          </cell>
          <cell r="R11">
            <v>6056046.666666667</v>
          </cell>
          <cell r="S11">
            <v>6056046.666666667</v>
          </cell>
          <cell r="T11">
            <v>6056046.666666667</v>
          </cell>
          <cell r="U11">
            <v>6056046.666666667</v>
          </cell>
          <cell r="V11">
            <v>6056046.666666667</v>
          </cell>
        </row>
        <row r="19">
          <cell r="C19">
            <v>1124759.3788194447</v>
          </cell>
          <cell r="D19">
            <v>1981552.0909722224</v>
          </cell>
          <cell r="E19">
            <v>2838344.8031250006</v>
          </cell>
          <cell r="F19">
            <v>3695137.5152777783</v>
          </cell>
          <cell r="G19">
            <v>4551930.227430556</v>
          </cell>
          <cell r="H19">
            <v>5408722.9395833341</v>
          </cell>
          <cell r="I19">
            <v>5140756.2729166672</v>
          </cell>
          <cell r="J19">
            <v>5140756.2729166672</v>
          </cell>
          <cell r="K19">
            <v>5140756.2729166672</v>
          </cell>
          <cell r="L19">
            <v>5140756.2729166672</v>
          </cell>
          <cell r="M19">
            <v>5140756.2729166672</v>
          </cell>
          <cell r="N19">
            <v>5140756.2729166672</v>
          </cell>
          <cell r="O19">
            <v>5140756.2729166672</v>
          </cell>
          <cell r="P19">
            <v>5140756.2729166672</v>
          </cell>
          <cell r="Q19">
            <v>5140756.2729166672</v>
          </cell>
          <cell r="R19">
            <v>5140756.2729166672</v>
          </cell>
          <cell r="S19">
            <v>5140756.2729166672</v>
          </cell>
          <cell r="T19">
            <v>5140756.2729166672</v>
          </cell>
          <cell r="U19">
            <v>5140756.2729166672</v>
          </cell>
          <cell r="V19">
            <v>5140756.2729166672</v>
          </cell>
        </row>
      </sheetData>
      <sheetData sheetId="19" refreshError="1"/>
      <sheetData sheetId="20" refreshError="1"/>
      <sheetData sheetId="21">
        <row r="31">
          <cell r="C31">
            <v>0.24857879331107779</v>
          </cell>
        </row>
      </sheetData>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WP-2-Ap 1-Prices"/>
    </sheetNames>
    <sheetDataSet>
      <sheetData sheetId="0" refreshError="1"/>
    </sheetDataSet>
  </externalBook>
</externalLink>
</file>

<file path=xl/externalLinks/externalLink20.xml><?xml version="1.0" encoding="utf-8"?>
<externalLink xmlns="http://schemas.openxmlformats.org/spreadsheetml/2006/main">
  <externalBook xmlns:r="http://schemas.openxmlformats.org/officeDocument/2006/relationships" r:id="rId1">
    <sheetNames>
      <sheetName val="Conversion factors"/>
      <sheetName val="CFs used"/>
      <sheetName val="WOP_Financial and Economic  V"/>
      <sheetName val="WP_Financial and Economic  V"/>
      <sheetName val="Incremental Fin. and Econ V"/>
      <sheetName val="WOP_Financial and Economic  M"/>
      <sheetName val="WP_Financial and Economic  M"/>
      <sheetName val="Incremental Fin. and Econ M"/>
      <sheetName val="WOP_Financial and Economic R"/>
      <sheetName val="WP-Financial and Economic R"/>
      <sheetName val="Incremental Fin. and Econ R"/>
      <sheetName val="WOP_Financial and Economic O"/>
      <sheetName val="WP-Financial and Economic O"/>
      <sheetName val="Incremental Fin. and Econ O"/>
      <sheetName val="WOP_Financial and Economic C"/>
      <sheetName val="WP-Financial and Economic C"/>
      <sheetName val="Incremental Fin. and Econ C"/>
      <sheetName val="Overall Incremental Benefits"/>
      <sheetName val="Overall Fn Incremental Benefits"/>
      <sheetName val="Summary of Indicators"/>
      <sheetName val="Econ Sensitivity Analysis"/>
      <sheetName val="Fin Sensitivity Analysis"/>
      <sheetName val="Carbon and SCC"/>
      <sheetName val="Calculations"/>
      <sheetName val="Vanilla Crop Budget"/>
      <sheetName val="Maize Crop Budget"/>
      <sheetName val="Rice Crop Budget"/>
      <sheetName val="Onion Crop Budget"/>
      <sheetName val="Cassava Crop Budg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5">
          <cell r="C5">
            <v>93527.357101449306</v>
          </cell>
        </row>
        <row r="11">
          <cell r="C11">
            <v>437565.48561689223</v>
          </cell>
          <cell r="D11">
            <v>1424145.2249066334</v>
          </cell>
          <cell r="E11">
            <v>2665124.1664858242</v>
          </cell>
          <cell r="F11">
            <v>4783369.6194433477</v>
          </cell>
          <cell r="G11">
            <v>5979212.0243041841</v>
          </cell>
          <cell r="H11">
            <v>7175054.4291650206</v>
          </cell>
          <cell r="I11">
            <v>7175054.4291650206</v>
          </cell>
          <cell r="J11">
            <v>7175054.4291650206</v>
          </cell>
          <cell r="K11">
            <v>7175054.4291650206</v>
          </cell>
          <cell r="L11">
            <v>7175054.4291650206</v>
          </cell>
          <cell r="M11">
            <v>7175054.4291650206</v>
          </cell>
          <cell r="N11">
            <v>7175054.4291650206</v>
          </cell>
          <cell r="O11">
            <v>7175054.4291650206</v>
          </cell>
          <cell r="P11">
            <v>7175054.4291650206</v>
          </cell>
          <cell r="Q11">
            <v>7175054.4291650206</v>
          </cell>
          <cell r="R11">
            <v>7175054.4291650206</v>
          </cell>
          <cell r="S11">
            <v>7175054.4291650206</v>
          </cell>
          <cell r="T11">
            <v>7175054.4291650206</v>
          </cell>
          <cell r="U11">
            <v>7175054.4291650206</v>
          </cell>
          <cell r="V11">
            <v>7175054.4291650206</v>
          </cell>
        </row>
        <row r="19">
          <cell r="C19">
            <v>1225819.7172140477</v>
          </cell>
          <cell r="D19">
            <v>2183672.7677614288</v>
          </cell>
          <cell r="E19">
            <v>3141525.8183088098</v>
          </cell>
          <cell r="F19">
            <v>4099378.8688561902</v>
          </cell>
          <cell r="G19">
            <v>5057231.9194035716</v>
          </cell>
          <cell r="H19">
            <v>6015084.9699509526</v>
          </cell>
          <cell r="I19">
            <v>5747118.3032842856</v>
          </cell>
          <cell r="J19">
            <v>5747118.3032842856</v>
          </cell>
          <cell r="K19">
            <v>5747118.3032842856</v>
          </cell>
          <cell r="L19">
            <v>5747118.3032842856</v>
          </cell>
          <cell r="M19">
            <v>5747118.3032842856</v>
          </cell>
          <cell r="N19">
            <v>5747118.3032842856</v>
          </cell>
          <cell r="O19">
            <v>5747118.3032842856</v>
          </cell>
          <cell r="P19">
            <v>5747118.3032842856</v>
          </cell>
          <cell r="Q19">
            <v>5747118.3032842856</v>
          </cell>
          <cell r="R19">
            <v>5747118.3032842856</v>
          </cell>
          <cell r="S19">
            <v>5747118.3032842856</v>
          </cell>
          <cell r="T19">
            <v>5747118.3032842856</v>
          </cell>
          <cell r="U19">
            <v>5747118.3032842856</v>
          </cell>
          <cell r="V19">
            <v>5747118.3032842856</v>
          </cell>
        </row>
      </sheetData>
      <sheetData sheetId="18">
        <row r="5">
          <cell r="C5">
            <v>88161.03333333334</v>
          </cell>
        </row>
        <row r="11">
          <cell r="C11">
            <v>448651.56562500005</v>
          </cell>
          <cell r="D11">
            <v>1448912.5145833332</v>
          </cell>
          <cell r="E11">
            <v>2725849.046875</v>
          </cell>
          <cell r="F11">
            <v>4863360.5291666668</v>
          </cell>
          <cell r="G11">
            <v>6079200.661458334</v>
          </cell>
          <cell r="H11">
            <v>7295040.7937500002</v>
          </cell>
          <cell r="I11">
            <v>7295040.7937500002</v>
          </cell>
          <cell r="J11">
            <v>7295040.7937500002</v>
          </cell>
          <cell r="K11">
            <v>7295040.7937500002</v>
          </cell>
          <cell r="L11">
            <v>7295040.7937500002</v>
          </cell>
          <cell r="M11">
            <v>7295040.7937500002</v>
          </cell>
          <cell r="N11">
            <v>7295040.7937500002</v>
          </cell>
          <cell r="O11">
            <v>7295040.7937500002</v>
          </cell>
          <cell r="P11">
            <v>7295040.7937500002</v>
          </cell>
          <cell r="Q11">
            <v>7295040.7937500002</v>
          </cell>
          <cell r="R11">
            <v>7295040.7937500002</v>
          </cell>
          <cell r="S11">
            <v>7295040.7937500002</v>
          </cell>
          <cell r="T11">
            <v>7295040.7937500002</v>
          </cell>
          <cell r="U11">
            <v>7295040.7937500002</v>
          </cell>
          <cell r="V11">
            <v>7295040.7937500002</v>
          </cell>
        </row>
        <row r="19">
          <cell r="C19">
            <v>1296117.9212500001</v>
          </cell>
          <cell r="D19">
            <v>2324269.1758333333</v>
          </cell>
          <cell r="E19">
            <v>3352420.4304166674</v>
          </cell>
          <cell r="F19">
            <v>4380571.6850000005</v>
          </cell>
          <cell r="G19">
            <v>5408722.9395833341</v>
          </cell>
          <cell r="H19">
            <v>6436874.1941666678</v>
          </cell>
          <cell r="I19">
            <v>6168907.5275000008</v>
          </cell>
          <cell r="J19">
            <v>6168907.5275000008</v>
          </cell>
          <cell r="K19">
            <v>6168907.5275000008</v>
          </cell>
          <cell r="L19">
            <v>6168907.5275000008</v>
          </cell>
          <cell r="M19">
            <v>6168907.5275000008</v>
          </cell>
          <cell r="N19">
            <v>6168907.5275000008</v>
          </cell>
          <cell r="O19">
            <v>6168907.5275000008</v>
          </cell>
          <cell r="P19">
            <v>6168907.5275000008</v>
          </cell>
          <cell r="Q19">
            <v>6168907.5275000008</v>
          </cell>
          <cell r="R19">
            <v>6168907.5275000008</v>
          </cell>
          <cell r="S19">
            <v>6168907.5275000008</v>
          </cell>
          <cell r="T19">
            <v>6168907.5275000008</v>
          </cell>
          <cell r="U19">
            <v>6168907.5275000008</v>
          </cell>
          <cell r="V19">
            <v>6168907.5275000008</v>
          </cell>
        </row>
      </sheetData>
      <sheetData sheetId="19" refreshError="1"/>
      <sheetData sheetId="20" refreshError="1"/>
      <sheetData sheetId="21">
        <row r="31">
          <cell r="C31">
            <v>0.2746618980452033</v>
          </cell>
        </row>
      </sheetData>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21.xml><?xml version="1.0" encoding="utf-8"?>
<externalLink xmlns="http://schemas.openxmlformats.org/spreadsheetml/2006/main">
  <externalBook xmlns:r="http://schemas.openxmlformats.org/officeDocument/2006/relationships" r:id="rId1">
    <sheetNames>
      <sheetName val="Conversion factors"/>
      <sheetName val="CFs used"/>
      <sheetName val="WOP_Financial and Economic  V"/>
      <sheetName val="WP_Financial and Economic  V"/>
      <sheetName val="Incremental Fin. and Econ V"/>
      <sheetName val="WOP_Financial and Economic  M"/>
      <sheetName val="WP_Financial and Economic  M"/>
      <sheetName val="Incremental Fin. and Econ M"/>
      <sheetName val="WOP_Financial and Economic R"/>
      <sheetName val="WP-Financial and Economic R"/>
      <sheetName val="Incremental Fin. and Econ R"/>
      <sheetName val="WOP_Financial and Economic O"/>
      <sheetName val="WP-Financial and Economic O"/>
      <sheetName val="Incremental Fin. and Econ O"/>
      <sheetName val="WOP_Financial and Economic C"/>
      <sheetName val="WP-Financial and Economic C"/>
      <sheetName val="Incremental Fin. and Econ C"/>
      <sheetName val="Overall Incremental Benefits"/>
      <sheetName val="Sensitivity Analysis"/>
      <sheetName val="Summary of Indicators"/>
      <sheetName val="Interventions"/>
      <sheetName val="Vanilla Crop Budget"/>
      <sheetName val="Maize Crop Budget"/>
      <sheetName val="Rice Crop Budget"/>
      <sheetName val="Onion Crop Budget"/>
      <sheetName val="Cassava Crop Budge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ow r="11">
          <cell r="C11">
            <v>408998.64910079003</v>
          </cell>
          <cell r="D11">
            <v>1129006.6346220837</v>
          </cell>
          <cell r="E11">
            <v>2054862.7507228625</v>
          </cell>
          <cell r="F11">
            <v>3345060.0877987212</v>
          </cell>
          <cell r="G11">
            <v>4181325.1097484017</v>
          </cell>
          <cell r="H11">
            <v>5017590.1316980831</v>
          </cell>
          <cell r="I11">
            <v>5017590.1316980831</v>
          </cell>
          <cell r="J11">
            <v>5017590.1316980831</v>
          </cell>
          <cell r="K11">
            <v>5017590.1316980831</v>
          </cell>
          <cell r="L11">
            <v>5017590.1316980831</v>
          </cell>
          <cell r="M11">
            <v>5017590.1316980831</v>
          </cell>
          <cell r="N11">
            <v>5017590.1316980831</v>
          </cell>
          <cell r="O11">
            <v>5017590.1316980831</v>
          </cell>
          <cell r="P11">
            <v>5017590.1316980831</v>
          </cell>
          <cell r="Q11">
            <v>5017590.1316980831</v>
          </cell>
          <cell r="R11">
            <v>5017590.1316980831</v>
          </cell>
          <cell r="S11">
            <v>5017590.1316980831</v>
          </cell>
          <cell r="T11">
            <v>5017590.1316980831</v>
          </cell>
          <cell r="U11">
            <v>5017590.1316980831</v>
          </cell>
          <cell r="V11">
            <v>5017590.1316980831</v>
          </cell>
        </row>
        <row r="19">
          <cell r="C19">
            <v>801012.49990470125</v>
          </cell>
          <cell r="D19">
            <v>1334058.3331427358</v>
          </cell>
          <cell r="E19">
            <v>1867104.16638077</v>
          </cell>
          <cell r="F19">
            <v>2400149.999618805</v>
          </cell>
          <cell r="G19">
            <v>2933195.8328568395</v>
          </cell>
          <cell r="H19">
            <v>3466241.6660948745</v>
          </cell>
          <cell r="I19">
            <v>3198274.9994282071</v>
          </cell>
          <cell r="J19">
            <v>3198274.9994282071</v>
          </cell>
          <cell r="K19">
            <v>3198274.9994282071</v>
          </cell>
          <cell r="L19">
            <v>3198274.9994282071</v>
          </cell>
          <cell r="M19">
            <v>3198274.9994282071</v>
          </cell>
          <cell r="N19">
            <v>3198274.9994282071</v>
          </cell>
          <cell r="O19">
            <v>3198274.9994282071</v>
          </cell>
          <cell r="P19">
            <v>3198274.9994282071</v>
          </cell>
          <cell r="Q19">
            <v>3198274.9994282071</v>
          </cell>
          <cell r="R19">
            <v>3198274.9994282071</v>
          </cell>
          <cell r="S19">
            <v>3198274.9994282071</v>
          </cell>
          <cell r="T19">
            <v>3198274.9994282071</v>
          </cell>
          <cell r="U19">
            <v>3198274.9994282071</v>
          </cell>
          <cell r="V19">
            <v>3198274.9994282071</v>
          </cell>
        </row>
      </sheetData>
      <sheetData sheetId="18"/>
      <sheetData sheetId="19"/>
      <sheetData sheetId="20"/>
      <sheetData sheetId="21"/>
      <sheetData sheetId="22"/>
      <sheetData sheetId="23"/>
      <sheetData sheetId="24"/>
      <sheetData sheetId="25"/>
    </sheetDataSet>
  </externalBook>
</externalLink>
</file>

<file path=xl/externalLinks/externalLink22.xml><?xml version="1.0" encoding="utf-8"?>
<externalLink xmlns="http://schemas.openxmlformats.org/spreadsheetml/2006/main">
  <externalBook xmlns:r="http://schemas.openxmlformats.org/officeDocument/2006/relationships" r:id="rId1">
    <sheetNames>
      <sheetName val="Conversion factors"/>
      <sheetName val="CFs used"/>
      <sheetName val="WOP_Financial and Economic  V"/>
      <sheetName val="WP_Financial and Economic  V"/>
      <sheetName val="Incremental Fin. and Econ V"/>
      <sheetName val="WOP_Financial and Economic  M"/>
      <sheetName val="WP_Financial and Economic  M"/>
      <sheetName val="Incremental Fin. and Econ M"/>
      <sheetName val="WOP_Financial and Economic R"/>
      <sheetName val="WP-Financial and Economic R"/>
      <sheetName val="Incremental Fin. and Econ R"/>
      <sheetName val="WOP_Financial and Economic O"/>
      <sheetName val="WP-Financial and Economic O"/>
      <sheetName val="Incremental Fin. and Econ O"/>
      <sheetName val="WOP_Financial and Economic C"/>
      <sheetName val="WP-Financial and Economic C"/>
      <sheetName val="Incremental Fin. and Econ C"/>
      <sheetName val="Overall Incremental Benefits"/>
      <sheetName val="Summary of Indicators"/>
      <sheetName val="Sensitivity Analysis"/>
      <sheetName val="Calculations"/>
      <sheetName val="Vanilla Crop Budget"/>
      <sheetName val="Maize Crop Budget"/>
      <sheetName val="Rice Crop Budget"/>
      <sheetName val="Onion Crop Budget"/>
      <sheetName val="Cassava Crop Budg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11">
          <cell r="C11">
            <v>598266.01846128004</v>
          </cell>
          <cell r="D11">
            <v>1745546.290595409</v>
          </cell>
          <cell r="E11">
            <v>3147225.7650189875</v>
          </cell>
          <cell r="F11">
            <v>5426171.7508208985</v>
          </cell>
          <cell r="G11">
            <v>6782714.6885261228</v>
          </cell>
          <cell r="H11">
            <v>8139257.6262313472</v>
          </cell>
          <cell r="I11">
            <v>8139257.6262313472</v>
          </cell>
          <cell r="J11">
            <v>8139257.6262313472</v>
          </cell>
          <cell r="K11">
            <v>8139257.6262313472</v>
          </cell>
          <cell r="L11">
            <v>8139257.6262313472</v>
          </cell>
          <cell r="M11">
            <v>8139257.6262313472</v>
          </cell>
          <cell r="N11">
            <v>8139257.6262313472</v>
          </cell>
          <cell r="O11">
            <v>8139257.6262313472</v>
          </cell>
          <cell r="P11">
            <v>8139257.6262313472</v>
          </cell>
          <cell r="Q11">
            <v>8139257.6262313472</v>
          </cell>
          <cell r="R11">
            <v>8139257.6262313472</v>
          </cell>
          <cell r="S11">
            <v>8139257.6262313472</v>
          </cell>
          <cell r="T11">
            <v>8139257.6262313472</v>
          </cell>
          <cell r="U11">
            <v>8139257.6262313472</v>
          </cell>
          <cell r="V11">
            <v>8139257.6262313472</v>
          </cell>
          <cell r="W11">
            <v>8139257.6262313472</v>
          </cell>
        </row>
        <row r="19">
          <cell r="C19">
            <v>1227459.7807591981</v>
          </cell>
          <cell r="D19">
            <v>2186952.8948517297</v>
          </cell>
          <cell r="E19">
            <v>3146446.0089442609</v>
          </cell>
          <cell r="F19">
            <v>4105939.1230367925</v>
          </cell>
          <cell r="G19">
            <v>5065432.2371293241</v>
          </cell>
          <cell r="H19">
            <v>6024925.3512218557</v>
          </cell>
          <cell r="I19">
            <v>5756958.6845551897</v>
          </cell>
          <cell r="J19">
            <v>5756958.6845551897</v>
          </cell>
          <cell r="K19">
            <v>5756958.6845551897</v>
          </cell>
          <cell r="L19">
            <v>5756958.6845551897</v>
          </cell>
          <cell r="M19">
            <v>5756958.6845551897</v>
          </cell>
          <cell r="N19">
            <v>5756958.6845551897</v>
          </cell>
          <cell r="O19">
            <v>5756958.6845551897</v>
          </cell>
          <cell r="P19">
            <v>5756958.6845551897</v>
          </cell>
          <cell r="Q19">
            <v>5756958.6845551897</v>
          </cell>
          <cell r="R19">
            <v>5756958.6845551897</v>
          </cell>
          <cell r="S19">
            <v>5756958.6845551897</v>
          </cell>
          <cell r="T19">
            <v>5756958.6845551897</v>
          </cell>
          <cell r="U19">
            <v>5756958.6845551897</v>
          </cell>
          <cell r="V19">
            <v>5756958.6845551897</v>
          </cell>
          <cell r="W19">
            <v>5756958.6845551897</v>
          </cell>
        </row>
      </sheetData>
      <sheetData sheetId="18">
        <row r="4">
          <cell r="B4">
            <v>1607800.0000000002</v>
          </cell>
        </row>
      </sheetData>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23.xml><?xml version="1.0" encoding="utf-8"?>
<externalLink xmlns="http://schemas.openxmlformats.org/spreadsheetml/2006/main">
  <externalBook xmlns:r="http://schemas.openxmlformats.org/officeDocument/2006/relationships" r:id="rId1">
    <sheetNames>
      <sheetName val="Conversion factors"/>
      <sheetName val="CFs used"/>
      <sheetName val="Calculations"/>
      <sheetName val="Benefits Fin. and Econ Roads"/>
      <sheetName val="Summary of Indicators"/>
    </sheetNames>
    <sheetDataSet>
      <sheetData sheetId="0"/>
      <sheetData sheetId="1"/>
      <sheetData sheetId="2"/>
      <sheetData sheetId="3">
        <row r="90">
          <cell r="E90">
            <v>81219.008986800487</v>
          </cell>
          <cell r="F90">
            <v>162438.01797360097</v>
          </cell>
          <cell r="G90">
            <v>243657.02696040148</v>
          </cell>
          <cell r="H90">
            <v>324876.03594720195</v>
          </cell>
          <cell r="I90">
            <v>406095.04493400251</v>
          </cell>
          <cell r="J90">
            <v>487314.05392080295</v>
          </cell>
          <cell r="K90">
            <v>487314.05392080295</v>
          </cell>
          <cell r="L90">
            <v>487314.05392080295</v>
          </cell>
          <cell r="M90">
            <v>487314.05392080295</v>
          </cell>
          <cell r="N90">
            <v>487314.05392080295</v>
          </cell>
          <cell r="O90">
            <v>487314.05392080295</v>
          </cell>
          <cell r="P90">
            <v>487314.05392080295</v>
          </cell>
          <cell r="Q90">
            <v>487314.05392080295</v>
          </cell>
          <cell r="R90">
            <v>487314.05392080295</v>
          </cell>
          <cell r="S90">
            <v>487314.05392080295</v>
          </cell>
          <cell r="T90">
            <v>487314.05392080295</v>
          </cell>
          <cell r="U90">
            <v>487314.05392080295</v>
          </cell>
          <cell r="V90">
            <v>487314.05392080295</v>
          </cell>
          <cell r="W90">
            <v>487314.05392080295</v>
          </cell>
          <cell r="X90">
            <v>487314.05392080295</v>
          </cell>
          <cell r="Y90">
            <v>487314.05392080295</v>
          </cell>
        </row>
        <row r="94">
          <cell r="E94">
            <v>212285.28138528144</v>
          </cell>
          <cell r="F94">
            <v>254742.33766233773</v>
          </cell>
          <cell r="G94">
            <v>275970.86580086593</v>
          </cell>
          <cell r="H94">
            <v>297199.39393939398</v>
          </cell>
          <cell r="I94">
            <v>318427.92207792227</v>
          </cell>
          <cell r="J94">
            <v>339656.45021645038</v>
          </cell>
          <cell r="K94">
            <v>127371.16883116888</v>
          </cell>
          <cell r="L94">
            <v>127371.16883116888</v>
          </cell>
          <cell r="M94">
            <v>127371.16883116888</v>
          </cell>
          <cell r="N94">
            <v>127371.16883116888</v>
          </cell>
          <cell r="O94">
            <v>127371.16883116888</v>
          </cell>
          <cell r="P94">
            <v>127371.16883116888</v>
          </cell>
          <cell r="Q94">
            <v>127371.16883116888</v>
          </cell>
          <cell r="R94">
            <v>127371.16883116888</v>
          </cell>
          <cell r="S94">
            <v>127371.16883116888</v>
          </cell>
          <cell r="T94">
            <v>127371.16883116888</v>
          </cell>
          <cell r="U94">
            <v>127371.16883116888</v>
          </cell>
          <cell r="V94">
            <v>127371.16883116888</v>
          </cell>
          <cell r="W94">
            <v>127371.16883116888</v>
          </cell>
          <cell r="X94">
            <v>127371.16883116888</v>
          </cell>
          <cell r="Y94">
            <v>127371.16883116888</v>
          </cell>
        </row>
      </sheetData>
      <sheetData sheetId="4"/>
    </sheetDataSet>
  </externalBook>
</externalLink>
</file>

<file path=xl/externalLinks/externalLink24.xml><?xml version="1.0" encoding="utf-8"?>
<externalLink xmlns="http://schemas.openxmlformats.org/spreadsheetml/2006/main">
  <externalBook xmlns:r="http://schemas.openxmlformats.org/officeDocument/2006/relationships" r:id="rId1">
    <sheetNames>
      <sheetName val="Conversion factors"/>
      <sheetName val="CFs used"/>
      <sheetName val="WOP_Financial and Economic  V"/>
      <sheetName val="WP_Financial and Economic  V"/>
      <sheetName val="Incremental Fin. and Econ V"/>
      <sheetName val="WOP_Financial and Economic  M"/>
      <sheetName val="WP_Financial and Economic  M"/>
      <sheetName val="Incremental Fin. and Econ M"/>
      <sheetName val="WOP_Financial and Economic R"/>
      <sheetName val="WP-Financial and Economic R"/>
      <sheetName val="Incremental Fin. and Econ R"/>
      <sheetName val="WOP_Financial and Economic O"/>
      <sheetName val="WP-Financial and Economic O"/>
      <sheetName val="Incremental Fin. and Econ O"/>
      <sheetName val="WOP_Financial and Economic C"/>
      <sheetName val="WP-Financial and Economic C"/>
      <sheetName val="Incremental Fin. and Econ C"/>
      <sheetName val="Overall Incremental Benefits"/>
      <sheetName val="Summary of Indicators"/>
      <sheetName val="Sensitivity Analysis"/>
      <sheetName val="Calculations"/>
      <sheetName val="Vanilla Crop Budget"/>
      <sheetName val="Maize Crop Budget"/>
      <sheetName val="Rice Crop Budget"/>
      <sheetName val="Onion Crop Budget"/>
      <sheetName val="Cassava Crop Budget"/>
      <sheetName val="Consolidated Indic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ow r="11">
          <cell r="C11">
            <v>128476.75711003007</v>
          </cell>
          <cell r="D11">
            <v>330155.41470977332</v>
          </cell>
          <cell r="E11">
            <v>565753.96594810986</v>
          </cell>
          <cell r="F11">
            <v>918321.38537022402</v>
          </cell>
          <cell r="G11">
            <v>1147901.73171278</v>
          </cell>
          <cell r="H11">
            <v>1377482.0780553361</v>
          </cell>
          <cell r="I11">
            <v>1377482.0780553361</v>
          </cell>
          <cell r="J11">
            <v>1377482.0780553361</v>
          </cell>
          <cell r="K11">
            <v>1377482.0780553361</v>
          </cell>
          <cell r="L11">
            <v>1377482.0780553361</v>
          </cell>
          <cell r="M11">
            <v>1377482.0780553361</v>
          </cell>
          <cell r="N11">
            <v>1377482.0780553361</v>
          </cell>
          <cell r="O11">
            <v>1377482.0780553361</v>
          </cell>
          <cell r="P11">
            <v>1377482.0780553361</v>
          </cell>
          <cell r="Q11">
            <v>1377482.0780553361</v>
          </cell>
          <cell r="R11">
            <v>1377482.0780553361</v>
          </cell>
          <cell r="S11">
            <v>1377482.0780553361</v>
          </cell>
          <cell r="T11">
            <v>1377482.0780553361</v>
          </cell>
          <cell r="U11">
            <v>1377482.0780553361</v>
          </cell>
          <cell r="V11">
            <v>1377482.0780553361</v>
          </cell>
        </row>
        <row r="19">
          <cell r="C19">
            <v>395847.45418423496</v>
          </cell>
          <cell r="D19">
            <v>523728.24170180329</v>
          </cell>
          <cell r="E19">
            <v>651609.02921937162</v>
          </cell>
          <cell r="F19">
            <v>779489.81673693983</v>
          </cell>
          <cell r="G19">
            <v>907370.60425450816</v>
          </cell>
          <cell r="H19">
            <v>1035251.3917720765</v>
          </cell>
          <cell r="I19">
            <v>767284.72510540974</v>
          </cell>
          <cell r="J19">
            <v>767284.72510540974</v>
          </cell>
          <cell r="K19">
            <v>767284.72510540974</v>
          </cell>
          <cell r="L19">
            <v>767284.72510540974</v>
          </cell>
          <cell r="M19">
            <v>767284.72510540974</v>
          </cell>
          <cell r="N19">
            <v>767284.72510540974</v>
          </cell>
          <cell r="O19">
            <v>767284.72510540974</v>
          </cell>
          <cell r="P19">
            <v>767284.72510540974</v>
          </cell>
          <cell r="Q19">
            <v>767284.72510540974</v>
          </cell>
          <cell r="R19">
            <v>767284.72510540974</v>
          </cell>
          <cell r="S19">
            <v>767284.72510540974</v>
          </cell>
          <cell r="T19">
            <v>767284.72510540974</v>
          </cell>
          <cell r="U19">
            <v>767284.72510540974</v>
          </cell>
          <cell r="V19">
            <v>767284.72510540974</v>
          </cell>
        </row>
      </sheetData>
      <sheetData sheetId="18"/>
      <sheetData sheetId="19"/>
      <sheetData sheetId="20"/>
      <sheetData sheetId="21"/>
      <sheetData sheetId="22"/>
      <sheetData sheetId="23"/>
      <sheetData sheetId="24"/>
      <sheetData sheetId="25"/>
      <sheetData sheetId="26"/>
    </sheetDataSet>
  </externalBook>
</externalLink>
</file>

<file path=xl/externalLinks/externalLink25.xml><?xml version="1.0" encoding="utf-8"?>
<externalLink xmlns="http://schemas.openxmlformats.org/spreadsheetml/2006/main">
  <externalBook xmlns:r="http://schemas.openxmlformats.org/officeDocument/2006/relationships" r:id="rId1">
    <sheetNames>
      <sheetName val="Conversion factors"/>
      <sheetName val="CFs used"/>
      <sheetName val="WOP_Financial and Economic  V"/>
      <sheetName val="WP_Financial and Economic  V"/>
      <sheetName val="Incremental Fin. and Econ V"/>
      <sheetName val="WOP_Financial and Economic  M"/>
      <sheetName val="WP_Financial and Economic  M"/>
      <sheetName val="Incremental Fin. and Econ M"/>
      <sheetName val="WOP_Financial and Economic R"/>
      <sheetName val="WP-Financial and Economic R"/>
      <sheetName val="Incremental Fin. and Econ R"/>
      <sheetName val="WOP_Financial and Economic O"/>
      <sheetName val="WP-Financial and Economic O"/>
      <sheetName val="Incremental Fin. and Econ O"/>
      <sheetName val="WOP_Financial and Economic C"/>
      <sheetName val="WP-Financial and Economic C"/>
      <sheetName val="Incremental Fin. and Econ C"/>
      <sheetName val="Overall Incremental Benefits"/>
      <sheetName val="Overall Fn Incremental Benefits"/>
      <sheetName val="Sensitivity Analysis"/>
      <sheetName val="Fin Sensitivity Analysis"/>
      <sheetName val="Carbon and SCC"/>
      <sheetName val="Calculations"/>
      <sheetName val="Detailed Budget Notes "/>
      <sheetName val="Detailed Budget"/>
      <sheetName val="Vanilla Crop Budget"/>
      <sheetName val="Maize Crop Budget"/>
      <sheetName val="Rice Crop Budget"/>
      <sheetName val="Onion Crop Budget"/>
      <sheetName val="Cassava Crop Budget"/>
    </sheetNames>
    <sheetDataSet>
      <sheetData sheetId="0" refreshError="1"/>
      <sheetData sheetId="1" refreshError="1"/>
      <sheetData sheetId="2" refreshError="1"/>
      <sheetData sheetId="3" refreshError="1"/>
      <sheetData sheetId="4">
        <row r="113">
          <cell r="E113">
            <v>565422.2608695653</v>
          </cell>
          <cell r="F113">
            <v>2045144.3478260871</v>
          </cell>
          <cell r="G113">
            <v>3067716.5217391308</v>
          </cell>
          <cell r="H113">
            <v>5918888.3478260869</v>
          </cell>
          <cell r="I113">
            <v>7398610.4347826093</v>
          </cell>
          <cell r="J113">
            <v>7398610.4347826093</v>
          </cell>
          <cell r="K113">
            <v>7398610.4347826093</v>
          </cell>
          <cell r="L113">
            <v>7398610.4347826093</v>
          </cell>
          <cell r="M113">
            <v>7398610.4347826093</v>
          </cell>
          <cell r="N113">
            <v>7398610.4347826093</v>
          </cell>
          <cell r="O113">
            <v>7398610.4347826093</v>
          </cell>
          <cell r="P113">
            <v>7398610.4347826093</v>
          </cell>
          <cell r="Q113">
            <v>7398610.4347826093</v>
          </cell>
          <cell r="R113">
            <v>7398610.4347826093</v>
          </cell>
          <cell r="S113">
            <v>7398610.4347826093</v>
          </cell>
          <cell r="T113">
            <v>7398610.4347826093</v>
          </cell>
          <cell r="U113">
            <v>7398610.4347826093</v>
          </cell>
          <cell r="V113">
            <v>7398610.4347826093</v>
          </cell>
          <cell r="W113">
            <v>7398610.4347826093</v>
          </cell>
          <cell r="X113">
            <v>7398610.4347826093</v>
          </cell>
        </row>
        <row r="122">
          <cell r="E122">
            <v>1146103.6004423571</v>
          </cell>
          <cell r="F122">
            <v>2292207.2008847143</v>
          </cell>
          <cell r="G122">
            <v>3438310.8013270716</v>
          </cell>
          <cell r="H122">
            <v>4584414.4017694285</v>
          </cell>
          <cell r="I122">
            <v>5730518.0022117868</v>
          </cell>
          <cell r="J122">
            <v>5730518.0022117868</v>
          </cell>
          <cell r="K122">
            <v>5730518.0022117868</v>
          </cell>
          <cell r="L122">
            <v>5730518.0022117868</v>
          </cell>
          <cell r="M122">
            <v>5730518.0022117868</v>
          </cell>
          <cell r="N122">
            <v>5730518.0022117868</v>
          </cell>
          <cell r="O122">
            <v>5730518.0022117868</v>
          </cell>
          <cell r="P122">
            <v>5730518.0022117868</v>
          </cell>
          <cell r="Q122">
            <v>5730518.0022117868</v>
          </cell>
          <cell r="R122">
            <v>5730518.0022117868</v>
          </cell>
          <cell r="S122">
            <v>5730518.0022117868</v>
          </cell>
          <cell r="T122">
            <v>5730518.0022117868</v>
          </cell>
          <cell r="U122">
            <v>5730518.0022117868</v>
          </cell>
          <cell r="V122">
            <v>5730518.0022117868</v>
          </cell>
          <cell r="W122">
            <v>5730518.0022117868</v>
          </cell>
          <cell r="X122">
            <v>5730518.0022117868</v>
          </cell>
        </row>
      </sheetData>
      <sheetData sheetId="5" refreshError="1"/>
      <sheetData sheetId="6" refreshError="1"/>
      <sheetData sheetId="7">
        <row r="115">
          <cell r="E115">
            <v>126945.69230769233</v>
          </cell>
          <cell r="F115">
            <v>398320.61538461543</v>
          </cell>
          <cell r="G115">
            <v>1680700.153846154</v>
          </cell>
          <cell r="H115">
            <v>2818650.461538462</v>
          </cell>
          <cell r="I115">
            <v>3523313.0769230775</v>
          </cell>
          <cell r="J115">
            <v>3523313.0769230775</v>
          </cell>
          <cell r="K115">
            <v>3523313.0769230775</v>
          </cell>
          <cell r="L115">
            <v>3523313.0769230775</v>
          </cell>
          <cell r="M115">
            <v>3523313.0769230775</v>
          </cell>
          <cell r="N115">
            <v>3523313.0769230775</v>
          </cell>
          <cell r="O115">
            <v>3523313.0769230775</v>
          </cell>
          <cell r="P115">
            <v>3523313.0769230775</v>
          </cell>
          <cell r="Q115">
            <v>3523313.0769230775</v>
          </cell>
          <cell r="R115">
            <v>3523313.0769230775</v>
          </cell>
          <cell r="S115">
            <v>3523313.0769230775</v>
          </cell>
          <cell r="T115">
            <v>3523313.0769230775</v>
          </cell>
          <cell r="U115">
            <v>3523313.0769230775</v>
          </cell>
          <cell r="V115">
            <v>3523313.0769230775</v>
          </cell>
          <cell r="W115">
            <v>3523313.0769230775</v>
          </cell>
          <cell r="X115">
            <v>3523313.0769230775</v>
          </cell>
        </row>
        <row r="124">
          <cell r="E124">
            <v>527148.00292547885</v>
          </cell>
          <cell r="F124">
            <v>1054296.0058509577</v>
          </cell>
          <cell r="G124">
            <v>1581444.0087764368</v>
          </cell>
          <cell r="H124">
            <v>2108592.0117019154</v>
          </cell>
          <cell r="I124">
            <v>2635740.0146273947</v>
          </cell>
          <cell r="J124">
            <v>2635740.0146273947</v>
          </cell>
          <cell r="K124">
            <v>2635740.0146273947</v>
          </cell>
          <cell r="L124">
            <v>2635740.0146273947</v>
          </cell>
          <cell r="M124">
            <v>2635740.0146273947</v>
          </cell>
          <cell r="N124">
            <v>2635740.0146273947</v>
          </cell>
          <cell r="O124">
            <v>2635740.0146273947</v>
          </cell>
          <cell r="P124">
            <v>2635740.0146273947</v>
          </cell>
          <cell r="Q124">
            <v>2635740.0146273947</v>
          </cell>
          <cell r="R124">
            <v>2635740.0146273947</v>
          </cell>
          <cell r="S124">
            <v>2635740.0146273947</v>
          </cell>
          <cell r="T124">
            <v>2635740.0146273947</v>
          </cell>
          <cell r="U124">
            <v>2635740.0146273947</v>
          </cell>
          <cell r="V124">
            <v>2635740.0146273947</v>
          </cell>
          <cell r="W124">
            <v>2635740.0146273947</v>
          </cell>
          <cell r="X124">
            <v>2635740.0146273947</v>
          </cell>
        </row>
      </sheetData>
      <sheetData sheetId="8" refreshError="1"/>
      <sheetData sheetId="9" refreshError="1"/>
      <sheetData sheetId="10">
        <row r="113">
          <cell r="E113">
            <v>201233.45454545456</v>
          </cell>
          <cell r="F113">
            <v>948672</v>
          </cell>
          <cell r="G113">
            <v>1832661.8181818184</v>
          </cell>
          <cell r="H113">
            <v>4082164.3636363638</v>
          </cell>
          <cell r="I113">
            <v>5102705.4545454551</v>
          </cell>
          <cell r="J113">
            <v>5102705.4545454551</v>
          </cell>
          <cell r="K113">
            <v>5102705.4545454551</v>
          </cell>
          <cell r="L113">
            <v>5102705.4545454551</v>
          </cell>
          <cell r="M113">
            <v>5102705.4545454551</v>
          </cell>
          <cell r="N113">
            <v>5102705.4545454551</v>
          </cell>
          <cell r="O113">
            <v>5102705.4545454551</v>
          </cell>
          <cell r="P113">
            <v>5102705.4545454551</v>
          </cell>
          <cell r="Q113">
            <v>5102705.4545454551</v>
          </cell>
          <cell r="R113">
            <v>5102705.4545454551</v>
          </cell>
          <cell r="S113">
            <v>5102705.4545454551</v>
          </cell>
          <cell r="T113">
            <v>5102705.4545454551</v>
          </cell>
          <cell r="U113">
            <v>5102705.4545454551</v>
          </cell>
          <cell r="V113">
            <v>5102705.4545454551</v>
          </cell>
          <cell r="W113">
            <v>5102705.4545454551</v>
          </cell>
          <cell r="X113">
            <v>5102705.4545454551</v>
          </cell>
        </row>
        <row r="122">
          <cell r="E122">
            <v>690786.53079694905</v>
          </cell>
          <cell r="F122">
            <v>1381573.0615938981</v>
          </cell>
          <cell r="G122">
            <v>2072359.5923908474</v>
          </cell>
          <cell r="H122">
            <v>2763146.1231877962</v>
          </cell>
          <cell r="I122">
            <v>3453932.653984746</v>
          </cell>
          <cell r="J122">
            <v>3453932.653984746</v>
          </cell>
          <cell r="K122">
            <v>3453932.653984746</v>
          </cell>
          <cell r="L122">
            <v>3453932.653984746</v>
          </cell>
          <cell r="M122">
            <v>3453932.653984746</v>
          </cell>
          <cell r="N122">
            <v>3453932.653984746</v>
          </cell>
          <cell r="O122">
            <v>3453932.653984746</v>
          </cell>
          <cell r="P122">
            <v>3453932.653984746</v>
          </cell>
          <cell r="Q122">
            <v>3453932.653984746</v>
          </cell>
          <cell r="R122">
            <v>3453932.653984746</v>
          </cell>
          <cell r="S122">
            <v>3453932.653984746</v>
          </cell>
          <cell r="T122">
            <v>3453932.653984746</v>
          </cell>
          <cell r="U122">
            <v>3453932.653984746</v>
          </cell>
          <cell r="V122">
            <v>3453932.653984746</v>
          </cell>
          <cell r="W122">
            <v>3453932.653984746</v>
          </cell>
          <cell r="X122">
            <v>3453932.653984746</v>
          </cell>
        </row>
      </sheetData>
      <sheetData sheetId="11" refreshError="1"/>
      <sheetData sheetId="12" refreshError="1"/>
      <sheetData sheetId="13">
        <row r="113">
          <cell r="E113">
            <v>145949.53846153847</v>
          </cell>
          <cell r="F113">
            <v>1447332.9230769232</v>
          </cell>
          <cell r="G113">
            <v>3037574.7692307699</v>
          </cell>
          <cell r="H113">
            <v>5205533.538461539</v>
          </cell>
          <cell r="I113">
            <v>6506916.9230769239</v>
          </cell>
          <cell r="J113">
            <v>6506916.9230769239</v>
          </cell>
          <cell r="K113">
            <v>6506916.9230769239</v>
          </cell>
          <cell r="L113">
            <v>6506916.9230769239</v>
          </cell>
          <cell r="M113">
            <v>6506916.9230769239</v>
          </cell>
          <cell r="N113">
            <v>6506916.9230769239</v>
          </cell>
          <cell r="O113">
            <v>6506916.9230769239</v>
          </cell>
          <cell r="P113">
            <v>6506916.9230769239</v>
          </cell>
          <cell r="Q113">
            <v>6506916.9230769239</v>
          </cell>
          <cell r="R113">
            <v>6506916.9230769239</v>
          </cell>
          <cell r="S113">
            <v>6506916.9230769239</v>
          </cell>
          <cell r="T113">
            <v>6506916.9230769239</v>
          </cell>
          <cell r="U113">
            <v>6506916.9230769239</v>
          </cell>
          <cell r="V113">
            <v>6506916.9230769239</v>
          </cell>
          <cell r="W113">
            <v>6506916.9230769239</v>
          </cell>
          <cell r="X113">
            <v>6506916.9230769239</v>
          </cell>
        </row>
        <row r="122">
          <cell r="E122">
            <v>991682.52094813623</v>
          </cell>
          <cell r="F122">
            <v>1983365.0418962725</v>
          </cell>
          <cell r="G122">
            <v>2975047.5628444087</v>
          </cell>
          <cell r="H122">
            <v>3966730.0837925449</v>
          </cell>
          <cell r="I122">
            <v>4958412.6047406811</v>
          </cell>
          <cell r="J122">
            <v>4958412.6047406811</v>
          </cell>
          <cell r="K122">
            <v>4958412.6047406811</v>
          </cell>
          <cell r="L122">
            <v>4958412.6047406811</v>
          </cell>
          <cell r="M122">
            <v>4958412.6047406811</v>
          </cell>
          <cell r="N122">
            <v>4958412.6047406811</v>
          </cell>
          <cell r="O122">
            <v>4958412.6047406811</v>
          </cell>
          <cell r="P122">
            <v>4958412.6047406811</v>
          </cell>
          <cell r="Q122">
            <v>4958412.6047406811</v>
          </cell>
          <cell r="R122">
            <v>4958412.6047406811</v>
          </cell>
          <cell r="S122">
            <v>4958412.6047406811</v>
          </cell>
          <cell r="T122">
            <v>4958412.6047406811</v>
          </cell>
          <cell r="U122">
            <v>4958412.6047406811</v>
          </cell>
          <cell r="V122">
            <v>4958412.6047406811</v>
          </cell>
          <cell r="W122">
            <v>4958412.6047406811</v>
          </cell>
          <cell r="X122">
            <v>4958412.6047406811</v>
          </cell>
        </row>
      </sheetData>
      <sheetData sheetId="14" refreshError="1"/>
      <sheetData sheetId="15" refreshError="1"/>
      <sheetData sheetId="16">
        <row r="113">
          <cell r="E113">
            <v>1545772.8461538462</v>
          </cell>
          <cell r="F113">
            <v>3650258.7692307686</v>
          </cell>
          <cell r="G113">
            <v>6313457.7692307681</v>
          </cell>
          <cell r="H113">
            <v>10652796.000000002</v>
          </cell>
          <cell r="I113">
            <v>13315995.000000002</v>
          </cell>
          <cell r="J113">
            <v>13315995.000000002</v>
          </cell>
          <cell r="K113">
            <v>13315995.000000002</v>
          </cell>
          <cell r="L113">
            <v>13315995.000000002</v>
          </cell>
          <cell r="M113">
            <v>13315995.000000002</v>
          </cell>
          <cell r="N113">
            <v>13315995.000000002</v>
          </cell>
          <cell r="O113">
            <v>13315995.000000002</v>
          </cell>
          <cell r="P113">
            <v>13315995.000000002</v>
          </cell>
          <cell r="Q113">
            <v>13315995.000000002</v>
          </cell>
          <cell r="R113">
            <v>13315995.000000002</v>
          </cell>
          <cell r="S113">
            <v>13315995.000000002</v>
          </cell>
          <cell r="T113">
            <v>13315995.000000002</v>
          </cell>
          <cell r="U113">
            <v>13315995.000000002</v>
          </cell>
          <cell r="V113">
            <v>13315995.000000002</v>
          </cell>
          <cell r="W113">
            <v>13315995.000000002</v>
          </cell>
          <cell r="X113">
            <v>13315995.000000002</v>
          </cell>
        </row>
        <row r="122">
          <cell r="E122">
            <v>2409037.0635218541</v>
          </cell>
          <cell r="F122">
            <v>4818074.1270437082</v>
          </cell>
          <cell r="G122">
            <v>7227111.1905655609</v>
          </cell>
          <cell r="H122">
            <v>9636148.2540874165</v>
          </cell>
          <cell r="I122">
            <v>12045185.317609269</v>
          </cell>
          <cell r="J122">
            <v>12045185.317609269</v>
          </cell>
          <cell r="K122">
            <v>12045185.317609269</v>
          </cell>
          <cell r="L122">
            <v>12045185.317609269</v>
          </cell>
          <cell r="M122">
            <v>12045185.317609269</v>
          </cell>
          <cell r="N122">
            <v>12045185.317609269</v>
          </cell>
          <cell r="O122">
            <v>12045185.317609269</v>
          </cell>
          <cell r="P122">
            <v>12045185.317609269</v>
          </cell>
          <cell r="Q122">
            <v>12045185.317609269</v>
          </cell>
          <cell r="R122">
            <v>12045185.317609269</v>
          </cell>
          <cell r="S122">
            <v>12045185.317609269</v>
          </cell>
          <cell r="T122">
            <v>12045185.317609269</v>
          </cell>
          <cell r="U122">
            <v>12045185.317609269</v>
          </cell>
          <cell r="V122">
            <v>12045185.317609269</v>
          </cell>
          <cell r="W122">
            <v>12045185.317609269</v>
          </cell>
          <cell r="X122">
            <v>12045185.317609269</v>
          </cell>
        </row>
      </sheetData>
      <sheetData sheetId="17" refreshError="1"/>
      <sheetData sheetId="18" refreshError="1"/>
      <sheetData sheetId="19" refreshError="1"/>
      <sheetData sheetId="20" refreshError="1"/>
      <sheetData sheetId="21">
        <row r="20">
          <cell r="E20">
            <v>178905.659086514</v>
          </cell>
          <cell r="F20">
            <v>366538.42349432135</v>
          </cell>
          <cell r="G20">
            <v>562898.29322342214</v>
          </cell>
          <cell r="H20">
            <v>759258.16295252298</v>
          </cell>
          <cell r="I20">
            <v>970890.46699388709</v>
          </cell>
          <cell r="J20">
            <v>992708.23029712052</v>
          </cell>
          <cell r="K20">
            <v>1025434.8752519706</v>
          </cell>
          <cell r="L20">
            <v>1047252.638555204</v>
          </cell>
          <cell r="M20">
            <v>1069070.4018584376</v>
          </cell>
          <cell r="N20">
            <v>1090888.1651616709</v>
          </cell>
          <cell r="O20">
            <v>1112705.9284649042</v>
          </cell>
          <cell r="P20">
            <v>1145432.5734197542</v>
          </cell>
          <cell r="Q20">
            <v>1167250.3367229877</v>
          </cell>
          <cell r="R20">
            <v>1189068.100026221</v>
          </cell>
          <cell r="S20">
            <v>1221794.7449810712</v>
          </cell>
          <cell r="T20">
            <v>1243612.5082843048</v>
          </cell>
          <cell r="U20">
            <v>1276339.1532391547</v>
          </cell>
          <cell r="V20">
            <v>1309065.7981940049</v>
          </cell>
          <cell r="W20">
            <v>1330883.5614972382</v>
          </cell>
          <cell r="X20">
            <v>1363610.2064520887</v>
          </cell>
        </row>
        <row r="21">
          <cell r="E21">
            <v>89452.829543257001</v>
          </cell>
          <cell r="F21">
            <v>183269.21174716068</v>
          </cell>
          <cell r="G21">
            <v>281449.14661171107</v>
          </cell>
          <cell r="H21">
            <v>383992.63413690811</v>
          </cell>
          <cell r="I21">
            <v>490899.67432275187</v>
          </cell>
          <cell r="J21">
            <v>501808.55597436853</v>
          </cell>
          <cell r="K21">
            <v>512717.4376259853</v>
          </cell>
          <cell r="L21">
            <v>523626.31927760202</v>
          </cell>
          <cell r="M21">
            <v>534535.20092921879</v>
          </cell>
          <cell r="N21">
            <v>545444.08258083544</v>
          </cell>
          <cell r="O21">
            <v>556352.9642324521</v>
          </cell>
          <cell r="P21">
            <v>567261.84588406875</v>
          </cell>
          <cell r="Q21">
            <v>578170.72753568552</v>
          </cell>
          <cell r="R21">
            <v>599988.49083891895</v>
          </cell>
          <cell r="S21">
            <v>610897.37249053561</v>
          </cell>
          <cell r="T21">
            <v>621806.25414215238</v>
          </cell>
          <cell r="U21">
            <v>632715.13579376903</v>
          </cell>
          <cell r="V21">
            <v>654532.89909700246</v>
          </cell>
          <cell r="W21">
            <v>665441.78074861912</v>
          </cell>
          <cell r="X21">
            <v>687259.54405185254</v>
          </cell>
        </row>
      </sheetData>
      <sheetData sheetId="22">
        <row r="3">
          <cell r="B3">
            <v>0.06</v>
          </cell>
        </row>
        <row r="7">
          <cell r="C7">
            <v>8.7200000000000006</v>
          </cell>
        </row>
        <row r="13">
          <cell r="B13">
            <v>856723.09586009721</v>
          </cell>
        </row>
        <row r="16">
          <cell r="B16">
            <v>1620</v>
          </cell>
          <cell r="C16">
            <v>3240</v>
          </cell>
          <cell r="D16">
            <v>4860</v>
          </cell>
          <cell r="E16">
            <v>6480</v>
          </cell>
          <cell r="F16">
            <v>8100</v>
          </cell>
          <cell r="G16">
            <v>8100</v>
          </cell>
        </row>
      </sheetData>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APP1 Financial  Prices"/>
      <sheetName val="Annex 1 maize price"/>
      <sheetName val="Annex 1  Urea Price"/>
      <sheetName val="Annex 1  DAP Price"/>
      <sheetName val="Annex 1  Export parity price"/>
      <sheetName val="APP1 Crops production and areas"/>
      <sheetName val="APP1 Yields t-ha"/>
      <sheetName val="APP 1 Crop budgets in ha"/>
      <sheetName val="APP 1 Crop Budgets Summary"/>
      <sheetName val="App 2 _Groundnut Model"/>
      <sheetName val="App 2_Improved seed Maize Crop"/>
      <sheetName val="App 2_Cassava Crop"/>
      <sheetName val="App 2_Sweet Potato Crop"/>
      <sheetName val="APP 2 Farm model"/>
      <sheetName val="App 2_Cows Model"/>
      <sheetName val="App 2_Goat Model"/>
      <sheetName val="App 2_Pig model"/>
      <sheetName val="App 2_Pineapple Crop"/>
      <sheetName val="IGA budget"/>
      <sheetName val="Annex 3-Table 3.1-Machinery"/>
      <sheetName val="Annex 3-Table 3.2 Apple grower"/>
      <sheetName val="Crop Budgets Summary-Fin"/>
      <sheetName val="Annex 4-Drinking Water Supply"/>
      <sheetName val="Annex 4-Table 4.3-Road Rehab"/>
      <sheetName val="Summary"/>
      <sheetName val="Summary ($)"/>
      <sheetName val="SummaryFinancial Results ($)"/>
      <sheetName val="Sheet17"/>
      <sheetName val="APP 2 Trade_sewing"/>
      <sheetName val="APP2 Second hand clothes"/>
      <sheetName val="IFAD Minimum requirement"/>
      <sheetName val="Summary Aggregation"/>
      <sheetName val="Detailed aggregation"/>
      <sheetName val="Beneficiary phasing"/>
      <sheetName val="APP 2 Summary ERN"/>
      <sheetName val="Ecomomic Costs"/>
      <sheetName val="Fish Value addition Enterprise"/>
      <sheetName val="Small Pelagics Fishing Enterpri"/>
      <sheetName val="Smallpelagics assumption"/>
      <sheetName val="Umbrella Marketing Cooperative"/>
      <sheetName val="Ice plant"/>
      <sheetName val="APP 2 Summary ($US)"/>
      <sheetName val="APP 2 Fin results in ERN USD"/>
      <sheetName val="Dried Fish trading"/>
      <sheetName val="Cottage"/>
      <sheetName val="Prices and conversion factors"/>
    </sheetNames>
    <sheetDataSet>
      <sheetData sheetId="0">
        <row r="8">
          <cell r="C8">
            <v>0.82</v>
          </cell>
        </row>
        <row r="13">
          <cell r="D13">
            <v>1000</v>
          </cell>
        </row>
        <row r="14">
          <cell r="D14">
            <v>500</v>
          </cell>
        </row>
        <row r="16">
          <cell r="D16">
            <v>300000</v>
          </cell>
        </row>
        <row r="17">
          <cell r="D17">
            <v>10000</v>
          </cell>
        </row>
      </sheetData>
      <sheetData sheetId="1" refreshError="1"/>
      <sheetData sheetId="2" refreshError="1"/>
      <sheetData sheetId="3" refreshError="1"/>
      <sheetData sheetId="4" refreshError="1"/>
      <sheetData sheetId="5" refreshError="1"/>
      <sheetData sheetId="6" refreshError="1"/>
      <sheetData sheetId="7" refreshError="1"/>
      <sheetData sheetId="8">
        <row r="7">
          <cell r="E7">
            <v>2500</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sheetData sheetId="32">
        <row r="52">
          <cell r="F52">
            <v>5</v>
          </cell>
        </row>
      </sheetData>
      <sheetData sheetId="33"/>
      <sheetData sheetId="34" refreshError="1"/>
      <sheetData sheetId="35" refreshError="1"/>
      <sheetData sheetId="36"/>
      <sheetData sheetId="37"/>
      <sheetData sheetId="38" refreshError="1"/>
      <sheetData sheetId="39" refreshError="1"/>
      <sheetData sheetId="40" refreshError="1"/>
      <sheetData sheetId="41" refreshError="1"/>
      <sheetData sheetId="42" refreshError="1"/>
      <sheetData sheetId="43"/>
      <sheetData sheetId="44"/>
      <sheetData sheetId="45">
        <row r="14">
          <cell r="H14">
            <v>60</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Summary"/>
      <sheetName val="Aggregate"/>
      <sheetName val="Margin analysis"/>
      <sheetName val="COCOA-Input data"/>
      <sheetName val="Paddy rice amort"/>
      <sheetName val="Overall summary"/>
      <sheetName val="Economic Benefits Aggreation"/>
      <sheetName val="Agricultural Benefits"/>
      <sheetName val="Sensitivity Analysis Wrkgs"/>
      <sheetName val="Summary of Ben Aggregation"/>
      <sheetName val="FAs Scaling-up Bfts Computation"/>
      <sheetName val="Apex"/>
      <sheetName val="CBs Scaling-up computations"/>
      <sheetName val="Econ Costs Scaling up1"/>
      <sheetName val="Econ Costs 1"/>
      <sheetName val="Proposed LG"/>
      <sheetName val="Economic costs"/>
      <sheetName val="Post MTR ECONOMIC COSTS"/>
      <sheetName val="COCOA-Establishment costs"/>
      <sheetName val="Cocoa Farm Model Fin"/>
      <sheetName val="Cocoa Farm Model Econ"/>
      <sheetName val="COCOA Amortiz"/>
      <sheetName val="Nerica Rice Fin"/>
      <sheetName val="Nerica Rice Econ"/>
      <sheetName val="Paddy Rice Fin"/>
      <sheetName val="Paddy Rice Econ"/>
      <sheetName val="PADDY RICE MODEL AT DESN"/>
      <sheetName val="Price of rice"/>
      <sheetName val="Rice crop budget"/>
      <sheetName val="Green house-Margin"/>
      <sheetName val="Green houses Assumptions"/>
      <sheetName val="Eco analysis of road construct"/>
      <sheetName val="Summary on rice"/>
      <sheetName val="Water catchment"/>
      <sheetName val="Catchment Margin"/>
      <sheetName val="Sheet1"/>
      <sheetName val="Sheet5"/>
      <sheetName val="Updated economic costs"/>
      <sheetName val="Apex bank business plan"/>
      <sheetName val="Apex bank projec"/>
      <sheetName val="Community bank"/>
      <sheetName val="Sandor"/>
      <sheetName val="FSA"/>
      <sheetName val="Performance Indicators"/>
      <sheetName val="CBs model"/>
      <sheetName val="FSAs model"/>
      <sheetName val="Apex bank"/>
      <sheetName val="Apex bank worksheet"/>
      <sheetName val="FAs Financial Statements"/>
      <sheetName val="Kabala CB"/>
      <sheetName val="Kamakwie"/>
      <sheetName val="Koindu"/>
      <sheetName val="Mattru"/>
      <sheetName val="Ninikoro"/>
      <sheetName val="Nimiyama"/>
      <sheetName val="Pendembu"/>
      <sheetName val="Segbwema"/>
      <sheetName val="Simbaru"/>
      <sheetName val="Sumbuya"/>
      <sheetName val="Taiama"/>
      <sheetName val="Tongofield"/>
      <sheetName val="Yoni"/>
      <sheetName val="Zimmi"/>
      <sheetName val="Madina"/>
      <sheetName val="Marampa Masimera"/>
    </sheetNames>
    <sheetDataSet>
      <sheetData sheetId="0" refreshError="1"/>
      <sheetData sheetId="1" refreshError="1"/>
      <sheetData sheetId="2" refreshError="1"/>
      <sheetData sheetId="3" refreshError="1"/>
      <sheetData sheetId="4" refreshError="1"/>
      <sheetData sheetId="5" refreshError="1"/>
      <sheetData sheetId="6">
        <row r="38">
          <cell r="C38">
            <v>0</v>
          </cell>
        </row>
        <row r="39">
          <cell r="C39">
            <v>0</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1 excDT"/>
    </sheetNames>
    <sheetDataSet>
      <sheetData sheetId="0"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Loan Amortization Schedule"/>
    </sheetNames>
    <sheetDataSet>
      <sheetData sheetId="0" refreshError="1">
        <row r="5">
          <cell r="D5">
            <v>858876</v>
          </cell>
        </row>
        <row r="6">
          <cell r="D6">
            <v>0.155</v>
          </cell>
        </row>
        <row r="7">
          <cell r="D7">
            <v>5</v>
          </cell>
        </row>
        <row r="9">
          <cell r="D9">
            <v>39814</v>
          </cell>
        </row>
        <row r="17">
          <cell r="A17">
            <v>0</v>
          </cell>
          <cell r="B17">
            <v>0</v>
          </cell>
          <cell r="C17">
            <v>0</v>
          </cell>
          <cell r="D17">
            <v>0</v>
          </cell>
          <cell r="E17">
            <v>0</v>
          </cell>
          <cell r="F17">
            <v>0</v>
          </cell>
          <cell r="G17">
            <v>0</v>
          </cell>
          <cell r="H17">
            <v>0</v>
          </cell>
          <cell r="I17">
            <v>0</v>
          </cell>
          <cell r="J17">
            <v>0</v>
          </cell>
        </row>
        <row r="18">
          <cell r="I18">
            <v>732745.92607087619</v>
          </cell>
        </row>
        <row r="19">
          <cell r="I19">
            <v>587065.6906827382</v>
          </cell>
        </row>
        <row r="20">
          <cell r="I20">
            <v>418805.01880943886</v>
          </cell>
        </row>
        <row r="21">
          <cell r="I21">
            <v>224463.9427957781</v>
          </cell>
        </row>
        <row r="22">
          <cell r="I22">
            <v>0</v>
          </cell>
        </row>
        <row r="23">
          <cell r="I23">
            <v>0</v>
          </cell>
        </row>
        <row r="24">
          <cell r="I24">
            <v>0</v>
          </cell>
        </row>
        <row r="25">
          <cell r="I25">
            <v>0</v>
          </cell>
        </row>
        <row r="26">
          <cell r="I26">
            <v>0</v>
          </cell>
        </row>
        <row r="27">
          <cell r="I27">
            <v>0</v>
          </cell>
        </row>
        <row r="28">
          <cell r="I28">
            <v>0</v>
          </cell>
        </row>
        <row r="29">
          <cell r="I29">
            <v>0</v>
          </cell>
        </row>
        <row r="30">
          <cell r="I30">
            <v>0</v>
          </cell>
        </row>
        <row r="31">
          <cell r="I31">
            <v>0</v>
          </cell>
        </row>
        <row r="32">
          <cell r="I32">
            <v>0</v>
          </cell>
        </row>
        <row r="33">
          <cell r="I33">
            <v>0</v>
          </cell>
        </row>
        <row r="34">
          <cell r="I34">
            <v>0</v>
          </cell>
        </row>
        <row r="35">
          <cell r="I35">
            <v>0</v>
          </cell>
        </row>
        <row r="36">
          <cell r="I36">
            <v>0</v>
          </cell>
        </row>
        <row r="37">
          <cell r="I37">
            <v>0</v>
          </cell>
        </row>
        <row r="38">
          <cell r="I38">
            <v>0</v>
          </cell>
        </row>
        <row r="39">
          <cell r="I39">
            <v>0</v>
          </cell>
        </row>
        <row r="40">
          <cell r="I40">
            <v>0</v>
          </cell>
        </row>
        <row r="41">
          <cell r="I41">
            <v>0</v>
          </cell>
        </row>
        <row r="42">
          <cell r="I42">
            <v>0</v>
          </cell>
        </row>
        <row r="43">
          <cell r="I43">
            <v>0</v>
          </cell>
        </row>
        <row r="44">
          <cell r="I44">
            <v>0</v>
          </cell>
        </row>
        <row r="45">
          <cell r="I45">
            <v>0</v>
          </cell>
        </row>
        <row r="46">
          <cell r="I46">
            <v>0</v>
          </cell>
        </row>
        <row r="47">
          <cell r="I47">
            <v>0</v>
          </cell>
        </row>
        <row r="48">
          <cell r="I48">
            <v>0</v>
          </cell>
        </row>
        <row r="49">
          <cell r="I49">
            <v>0</v>
          </cell>
        </row>
        <row r="50">
          <cell r="I50">
            <v>0</v>
          </cell>
        </row>
        <row r="51">
          <cell r="I51">
            <v>0</v>
          </cell>
        </row>
        <row r="52">
          <cell r="I52">
            <v>0</v>
          </cell>
        </row>
        <row r="53">
          <cell r="I53">
            <v>0</v>
          </cell>
        </row>
        <row r="54">
          <cell r="I54">
            <v>0</v>
          </cell>
        </row>
        <row r="55">
          <cell r="I55">
            <v>0</v>
          </cell>
        </row>
        <row r="56">
          <cell r="I56">
            <v>0</v>
          </cell>
        </row>
        <row r="57">
          <cell r="I57">
            <v>0</v>
          </cell>
        </row>
        <row r="58">
          <cell r="I58">
            <v>0</v>
          </cell>
        </row>
        <row r="59">
          <cell r="I59">
            <v>0</v>
          </cell>
        </row>
        <row r="60">
          <cell r="I60">
            <v>0</v>
          </cell>
        </row>
        <row r="61">
          <cell r="I61">
            <v>0</v>
          </cell>
        </row>
        <row r="62">
          <cell r="I62">
            <v>0</v>
          </cell>
        </row>
        <row r="63">
          <cell r="I63">
            <v>0</v>
          </cell>
        </row>
        <row r="64">
          <cell r="I64">
            <v>0</v>
          </cell>
        </row>
        <row r="65">
          <cell r="I65">
            <v>0</v>
          </cell>
        </row>
        <row r="66">
          <cell r="I66">
            <v>0</v>
          </cell>
        </row>
        <row r="67">
          <cell r="I67">
            <v>0</v>
          </cell>
        </row>
        <row r="68">
          <cell r="I68">
            <v>0</v>
          </cell>
        </row>
        <row r="69">
          <cell r="I69">
            <v>0</v>
          </cell>
        </row>
        <row r="70">
          <cell r="I70">
            <v>0</v>
          </cell>
        </row>
        <row r="71">
          <cell r="I71">
            <v>0</v>
          </cell>
        </row>
        <row r="72">
          <cell r="I72">
            <v>0</v>
          </cell>
        </row>
        <row r="73">
          <cell r="I73">
            <v>0</v>
          </cell>
        </row>
        <row r="74">
          <cell r="I74">
            <v>0</v>
          </cell>
        </row>
        <row r="75">
          <cell r="I75">
            <v>0</v>
          </cell>
        </row>
        <row r="76">
          <cell r="I76">
            <v>0</v>
          </cell>
        </row>
        <row r="77">
          <cell r="I77">
            <v>0</v>
          </cell>
        </row>
        <row r="78">
          <cell r="I78">
            <v>0</v>
          </cell>
        </row>
        <row r="79">
          <cell r="I79">
            <v>0</v>
          </cell>
        </row>
        <row r="80">
          <cell r="I80">
            <v>0</v>
          </cell>
        </row>
        <row r="81">
          <cell r="I81">
            <v>0</v>
          </cell>
        </row>
        <row r="82">
          <cell r="I82">
            <v>0</v>
          </cell>
        </row>
        <row r="83">
          <cell r="I83">
            <v>0</v>
          </cell>
        </row>
        <row r="84">
          <cell r="I84">
            <v>0</v>
          </cell>
        </row>
        <row r="85">
          <cell r="I85">
            <v>0</v>
          </cell>
        </row>
        <row r="86">
          <cell r="I86">
            <v>0</v>
          </cell>
        </row>
        <row r="87">
          <cell r="I87">
            <v>0</v>
          </cell>
        </row>
        <row r="88">
          <cell r="I88">
            <v>0</v>
          </cell>
        </row>
        <row r="89">
          <cell r="I89">
            <v>0</v>
          </cell>
        </row>
        <row r="90">
          <cell r="I90">
            <v>0</v>
          </cell>
        </row>
        <row r="91">
          <cell r="I91">
            <v>0</v>
          </cell>
        </row>
        <row r="92">
          <cell r="I92">
            <v>0</v>
          </cell>
        </row>
        <row r="93">
          <cell r="I93">
            <v>0</v>
          </cell>
        </row>
        <row r="94">
          <cell r="I94">
            <v>0</v>
          </cell>
        </row>
        <row r="95">
          <cell r="I95">
            <v>0</v>
          </cell>
        </row>
        <row r="96">
          <cell r="I96">
            <v>0</v>
          </cell>
        </row>
        <row r="97">
          <cell r="I97">
            <v>0</v>
          </cell>
        </row>
        <row r="98">
          <cell r="I98">
            <v>0</v>
          </cell>
        </row>
        <row r="99">
          <cell r="I99">
            <v>0</v>
          </cell>
        </row>
        <row r="100">
          <cell r="I100">
            <v>0</v>
          </cell>
        </row>
        <row r="101">
          <cell r="I101">
            <v>0</v>
          </cell>
        </row>
        <row r="102">
          <cell r="I102">
            <v>0</v>
          </cell>
        </row>
        <row r="103">
          <cell r="I103">
            <v>0</v>
          </cell>
        </row>
        <row r="104">
          <cell r="I104">
            <v>0</v>
          </cell>
        </row>
        <row r="105">
          <cell r="I105">
            <v>0</v>
          </cell>
        </row>
        <row r="106">
          <cell r="I106">
            <v>0</v>
          </cell>
        </row>
        <row r="107">
          <cell r="I107">
            <v>0</v>
          </cell>
        </row>
        <row r="108">
          <cell r="I108">
            <v>0</v>
          </cell>
        </row>
        <row r="109">
          <cell r="I109">
            <v>0</v>
          </cell>
        </row>
        <row r="110">
          <cell r="I110">
            <v>0</v>
          </cell>
        </row>
        <row r="111">
          <cell r="I111">
            <v>0</v>
          </cell>
        </row>
        <row r="112">
          <cell r="I112">
            <v>0</v>
          </cell>
        </row>
        <row r="113">
          <cell r="I113">
            <v>0</v>
          </cell>
        </row>
        <row r="114">
          <cell r="I114">
            <v>0</v>
          </cell>
        </row>
        <row r="115">
          <cell r="I115">
            <v>0</v>
          </cell>
        </row>
        <row r="116">
          <cell r="I116">
            <v>0</v>
          </cell>
        </row>
        <row r="117">
          <cell r="I117">
            <v>0</v>
          </cell>
        </row>
        <row r="118">
          <cell r="I118">
            <v>0</v>
          </cell>
        </row>
        <row r="119">
          <cell r="I119">
            <v>0</v>
          </cell>
        </row>
        <row r="120">
          <cell r="I120">
            <v>0</v>
          </cell>
        </row>
        <row r="121">
          <cell r="I121">
            <v>0</v>
          </cell>
        </row>
        <row r="122">
          <cell r="I122">
            <v>0</v>
          </cell>
        </row>
        <row r="123">
          <cell r="I123">
            <v>0</v>
          </cell>
        </row>
        <row r="124">
          <cell r="I124">
            <v>0</v>
          </cell>
        </row>
        <row r="125">
          <cell r="I125">
            <v>0</v>
          </cell>
        </row>
        <row r="126">
          <cell r="I126">
            <v>0</v>
          </cell>
        </row>
        <row r="127">
          <cell r="I127">
            <v>0</v>
          </cell>
        </row>
        <row r="128">
          <cell r="I128">
            <v>0</v>
          </cell>
        </row>
        <row r="129">
          <cell r="I129">
            <v>0</v>
          </cell>
        </row>
        <row r="130">
          <cell r="I130">
            <v>0</v>
          </cell>
        </row>
        <row r="131">
          <cell r="I131">
            <v>0</v>
          </cell>
        </row>
        <row r="132">
          <cell r="I132">
            <v>0</v>
          </cell>
        </row>
        <row r="133">
          <cell r="I133">
            <v>0</v>
          </cell>
        </row>
        <row r="134">
          <cell r="I134">
            <v>0</v>
          </cell>
        </row>
        <row r="135">
          <cell r="I135">
            <v>0</v>
          </cell>
        </row>
        <row r="136">
          <cell r="I136">
            <v>0</v>
          </cell>
        </row>
        <row r="137">
          <cell r="I137">
            <v>0</v>
          </cell>
        </row>
        <row r="138">
          <cell r="I138">
            <v>0</v>
          </cell>
        </row>
        <row r="139">
          <cell r="I139">
            <v>0</v>
          </cell>
        </row>
        <row r="140">
          <cell r="I140">
            <v>0</v>
          </cell>
        </row>
        <row r="141">
          <cell r="I141">
            <v>0</v>
          </cell>
        </row>
        <row r="142">
          <cell r="I142">
            <v>0</v>
          </cell>
        </row>
        <row r="143">
          <cell r="I143">
            <v>0</v>
          </cell>
        </row>
        <row r="144">
          <cell r="I144">
            <v>0</v>
          </cell>
        </row>
        <row r="145">
          <cell r="I145">
            <v>0</v>
          </cell>
        </row>
        <row r="146">
          <cell r="I146">
            <v>0</v>
          </cell>
        </row>
        <row r="147">
          <cell r="I147">
            <v>0</v>
          </cell>
        </row>
        <row r="148">
          <cell r="I148">
            <v>0</v>
          </cell>
        </row>
        <row r="149">
          <cell r="I149">
            <v>0</v>
          </cell>
        </row>
        <row r="150">
          <cell r="I150">
            <v>0</v>
          </cell>
        </row>
        <row r="151">
          <cell r="I151">
            <v>0</v>
          </cell>
        </row>
        <row r="152">
          <cell r="I152">
            <v>0</v>
          </cell>
        </row>
        <row r="153">
          <cell r="I153">
            <v>0</v>
          </cell>
        </row>
        <row r="154">
          <cell r="I154">
            <v>0</v>
          </cell>
        </row>
        <row r="155">
          <cell r="I155">
            <v>0</v>
          </cell>
        </row>
        <row r="156">
          <cell r="I156">
            <v>0</v>
          </cell>
        </row>
        <row r="157">
          <cell r="I157">
            <v>0</v>
          </cell>
        </row>
        <row r="158">
          <cell r="I158">
            <v>0</v>
          </cell>
        </row>
        <row r="159">
          <cell r="I159">
            <v>0</v>
          </cell>
        </row>
        <row r="160">
          <cell r="I160">
            <v>0</v>
          </cell>
        </row>
        <row r="161">
          <cell r="I161">
            <v>0</v>
          </cell>
        </row>
        <row r="162">
          <cell r="I162">
            <v>0</v>
          </cell>
        </row>
        <row r="163">
          <cell r="I163">
            <v>0</v>
          </cell>
        </row>
        <row r="164">
          <cell r="I164">
            <v>0</v>
          </cell>
        </row>
        <row r="165">
          <cell r="I165">
            <v>0</v>
          </cell>
        </row>
        <row r="166">
          <cell r="I166">
            <v>0</v>
          </cell>
        </row>
        <row r="167">
          <cell r="I167">
            <v>0</v>
          </cell>
        </row>
        <row r="168">
          <cell r="I168">
            <v>0</v>
          </cell>
        </row>
        <row r="169">
          <cell r="I169">
            <v>0</v>
          </cell>
        </row>
        <row r="170">
          <cell r="I170">
            <v>0</v>
          </cell>
        </row>
        <row r="171">
          <cell r="I171">
            <v>0</v>
          </cell>
        </row>
        <row r="172">
          <cell r="I172">
            <v>0</v>
          </cell>
        </row>
        <row r="173">
          <cell r="I173">
            <v>0</v>
          </cell>
        </row>
        <row r="174">
          <cell r="I174">
            <v>0</v>
          </cell>
        </row>
        <row r="175">
          <cell r="I175">
            <v>0</v>
          </cell>
        </row>
        <row r="176">
          <cell r="I176">
            <v>0</v>
          </cell>
        </row>
        <row r="177">
          <cell r="I177">
            <v>0</v>
          </cell>
        </row>
        <row r="178">
          <cell r="I178">
            <v>0</v>
          </cell>
        </row>
        <row r="179">
          <cell r="I179">
            <v>0</v>
          </cell>
        </row>
        <row r="180">
          <cell r="I180">
            <v>0</v>
          </cell>
        </row>
        <row r="181">
          <cell r="I181">
            <v>0</v>
          </cell>
        </row>
        <row r="182">
          <cell r="I182">
            <v>0</v>
          </cell>
        </row>
        <row r="183">
          <cell r="I183">
            <v>0</v>
          </cell>
        </row>
        <row r="184">
          <cell r="I184">
            <v>0</v>
          </cell>
        </row>
        <row r="185">
          <cell r="I185">
            <v>0</v>
          </cell>
        </row>
        <row r="186">
          <cell r="I186">
            <v>0</v>
          </cell>
        </row>
        <row r="187">
          <cell r="I187">
            <v>0</v>
          </cell>
        </row>
        <row r="188">
          <cell r="I188">
            <v>0</v>
          </cell>
        </row>
        <row r="189">
          <cell r="I189">
            <v>0</v>
          </cell>
        </row>
        <row r="190">
          <cell r="I190">
            <v>0</v>
          </cell>
        </row>
        <row r="191">
          <cell r="I191">
            <v>0</v>
          </cell>
        </row>
        <row r="192">
          <cell r="I192">
            <v>0</v>
          </cell>
        </row>
        <row r="193">
          <cell r="I193">
            <v>0</v>
          </cell>
        </row>
        <row r="194">
          <cell r="I194">
            <v>0</v>
          </cell>
        </row>
        <row r="195">
          <cell r="I195">
            <v>0</v>
          </cell>
        </row>
        <row r="196">
          <cell r="I196">
            <v>0</v>
          </cell>
        </row>
        <row r="197">
          <cell r="I197">
            <v>0</v>
          </cell>
        </row>
        <row r="198">
          <cell r="I198">
            <v>0</v>
          </cell>
        </row>
        <row r="199">
          <cell r="I199">
            <v>0</v>
          </cell>
        </row>
        <row r="200">
          <cell r="I200">
            <v>0</v>
          </cell>
        </row>
        <row r="201">
          <cell r="I201">
            <v>0</v>
          </cell>
        </row>
        <row r="202">
          <cell r="I202">
            <v>0</v>
          </cell>
        </row>
        <row r="203">
          <cell r="I203">
            <v>0</v>
          </cell>
        </row>
        <row r="204">
          <cell r="I204">
            <v>0</v>
          </cell>
        </row>
        <row r="205">
          <cell r="I205">
            <v>0</v>
          </cell>
        </row>
        <row r="206">
          <cell r="I206">
            <v>0</v>
          </cell>
        </row>
        <row r="207">
          <cell r="I207">
            <v>0</v>
          </cell>
        </row>
        <row r="208">
          <cell r="I208">
            <v>0</v>
          </cell>
        </row>
        <row r="209">
          <cell r="I209">
            <v>0</v>
          </cell>
        </row>
        <row r="210">
          <cell r="I210">
            <v>0</v>
          </cell>
        </row>
        <row r="211">
          <cell r="I211">
            <v>0</v>
          </cell>
        </row>
        <row r="212">
          <cell r="I212">
            <v>0</v>
          </cell>
        </row>
        <row r="213">
          <cell r="I213">
            <v>0</v>
          </cell>
        </row>
        <row r="214">
          <cell r="I214">
            <v>0</v>
          </cell>
        </row>
        <row r="215">
          <cell r="I215">
            <v>0</v>
          </cell>
        </row>
        <row r="216">
          <cell r="I216">
            <v>0</v>
          </cell>
        </row>
        <row r="217">
          <cell r="I217">
            <v>0</v>
          </cell>
        </row>
        <row r="218">
          <cell r="I218">
            <v>0</v>
          </cell>
        </row>
        <row r="219">
          <cell r="I219">
            <v>0</v>
          </cell>
        </row>
        <row r="220">
          <cell r="I220">
            <v>0</v>
          </cell>
        </row>
        <row r="221">
          <cell r="I221">
            <v>0</v>
          </cell>
        </row>
        <row r="222">
          <cell r="I222">
            <v>0</v>
          </cell>
        </row>
        <row r="223">
          <cell r="I223">
            <v>0</v>
          </cell>
        </row>
        <row r="224">
          <cell r="I224">
            <v>0</v>
          </cell>
        </row>
        <row r="225">
          <cell r="I225">
            <v>0</v>
          </cell>
        </row>
        <row r="226">
          <cell r="I226">
            <v>0</v>
          </cell>
        </row>
        <row r="227">
          <cell r="I227">
            <v>0</v>
          </cell>
        </row>
        <row r="228">
          <cell r="I228">
            <v>0</v>
          </cell>
        </row>
        <row r="229">
          <cell r="I229">
            <v>0</v>
          </cell>
        </row>
        <row r="230">
          <cell r="I230">
            <v>0</v>
          </cell>
        </row>
        <row r="231">
          <cell r="I231">
            <v>0</v>
          </cell>
        </row>
        <row r="232">
          <cell r="I232">
            <v>0</v>
          </cell>
        </row>
        <row r="233">
          <cell r="I233">
            <v>0</v>
          </cell>
        </row>
        <row r="234">
          <cell r="I234">
            <v>0</v>
          </cell>
        </row>
        <row r="235">
          <cell r="I235">
            <v>0</v>
          </cell>
        </row>
        <row r="236">
          <cell r="I236">
            <v>0</v>
          </cell>
        </row>
        <row r="237">
          <cell r="I237">
            <v>0</v>
          </cell>
        </row>
        <row r="238">
          <cell r="I238">
            <v>0</v>
          </cell>
        </row>
        <row r="239">
          <cell r="I239">
            <v>0</v>
          </cell>
        </row>
        <row r="240">
          <cell r="I240">
            <v>0</v>
          </cell>
        </row>
        <row r="241">
          <cell r="I241">
            <v>0</v>
          </cell>
        </row>
        <row r="242">
          <cell r="I242">
            <v>0</v>
          </cell>
        </row>
        <row r="243">
          <cell r="I243">
            <v>0</v>
          </cell>
        </row>
        <row r="244">
          <cell r="I244">
            <v>0</v>
          </cell>
        </row>
        <row r="245">
          <cell r="I245">
            <v>0</v>
          </cell>
        </row>
        <row r="246">
          <cell r="I246">
            <v>0</v>
          </cell>
        </row>
        <row r="247">
          <cell r="I247">
            <v>0</v>
          </cell>
        </row>
        <row r="248">
          <cell r="I248">
            <v>0</v>
          </cell>
        </row>
        <row r="249">
          <cell r="I249">
            <v>0</v>
          </cell>
        </row>
        <row r="250">
          <cell r="I250">
            <v>0</v>
          </cell>
        </row>
        <row r="251">
          <cell r="I251">
            <v>0</v>
          </cell>
        </row>
        <row r="252">
          <cell r="I252">
            <v>0</v>
          </cell>
        </row>
        <row r="253">
          <cell r="I253">
            <v>0</v>
          </cell>
        </row>
        <row r="254">
          <cell r="I254">
            <v>0</v>
          </cell>
        </row>
        <row r="255">
          <cell r="I255">
            <v>0</v>
          </cell>
        </row>
        <row r="256">
          <cell r="I256">
            <v>0</v>
          </cell>
        </row>
        <row r="257">
          <cell r="I257">
            <v>0</v>
          </cell>
        </row>
        <row r="258">
          <cell r="I258">
            <v>0</v>
          </cell>
        </row>
        <row r="259">
          <cell r="I259">
            <v>0</v>
          </cell>
        </row>
        <row r="260">
          <cell r="I260">
            <v>0</v>
          </cell>
        </row>
        <row r="261">
          <cell r="I261">
            <v>0</v>
          </cell>
        </row>
        <row r="262">
          <cell r="I262">
            <v>0</v>
          </cell>
        </row>
        <row r="263">
          <cell r="I263">
            <v>0</v>
          </cell>
        </row>
        <row r="264">
          <cell r="I264">
            <v>0</v>
          </cell>
        </row>
        <row r="265">
          <cell r="I265">
            <v>0</v>
          </cell>
        </row>
        <row r="266">
          <cell r="I266">
            <v>0</v>
          </cell>
        </row>
        <row r="267">
          <cell r="I267">
            <v>0</v>
          </cell>
        </row>
        <row r="268">
          <cell r="I268">
            <v>0</v>
          </cell>
        </row>
        <row r="269">
          <cell r="I269">
            <v>0</v>
          </cell>
        </row>
        <row r="270">
          <cell r="I270">
            <v>0</v>
          </cell>
        </row>
        <row r="271">
          <cell r="I271">
            <v>0</v>
          </cell>
        </row>
        <row r="272">
          <cell r="I272">
            <v>0</v>
          </cell>
        </row>
        <row r="273">
          <cell r="I273">
            <v>0</v>
          </cell>
        </row>
        <row r="274">
          <cell r="I274">
            <v>0</v>
          </cell>
        </row>
        <row r="275">
          <cell r="I275">
            <v>0</v>
          </cell>
        </row>
        <row r="276">
          <cell r="I276">
            <v>0</v>
          </cell>
        </row>
        <row r="277">
          <cell r="I277">
            <v>0</v>
          </cell>
        </row>
        <row r="278">
          <cell r="I278">
            <v>0</v>
          </cell>
        </row>
        <row r="279">
          <cell r="I279">
            <v>0</v>
          </cell>
        </row>
        <row r="280">
          <cell r="I280">
            <v>0</v>
          </cell>
        </row>
        <row r="281">
          <cell r="I281">
            <v>0</v>
          </cell>
        </row>
        <row r="282">
          <cell r="I282">
            <v>0</v>
          </cell>
        </row>
        <row r="283">
          <cell r="I283">
            <v>0</v>
          </cell>
        </row>
        <row r="284">
          <cell r="I284">
            <v>0</v>
          </cell>
        </row>
        <row r="285">
          <cell r="I285">
            <v>0</v>
          </cell>
        </row>
        <row r="286">
          <cell r="I286">
            <v>0</v>
          </cell>
        </row>
        <row r="287">
          <cell r="I287">
            <v>0</v>
          </cell>
        </row>
        <row r="288">
          <cell r="I288">
            <v>0</v>
          </cell>
        </row>
        <row r="289">
          <cell r="I289">
            <v>0</v>
          </cell>
        </row>
        <row r="290">
          <cell r="I290">
            <v>0</v>
          </cell>
        </row>
        <row r="291">
          <cell r="I291">
            <v>0</v>
          </cell>
        </row>
        <row r="292">
          <cell r="I292">
            <v>0</v>
          </cell>
        </row>
        <row r="293">
          <cell r="I293">
            <v>0</v>
          </cell>
        </row>
        <row r="294">
          <cell r="I294">
            <v>0</v>
          </cell>
        </row>
        <row r="295">
          <cell r="I295">
            <v>0</v>
          </cell>
        </row>
        <row r="296">
          <cell r="I296">
            <v>0</v>
          </cell>
        </row>
        <row r="297">
          <cell r="I297">
            <v>0</v>
          </cell>
        </row>
        <row r="298">
          <cell r="I298">
            <v>0</v>
          </cell>
        </row>
        <row r="299">
          <cell r="I299">
            <v>0</v>
          </cell>
        </row>
        <row r="300">
          <cell r="I300">
            <v>0</v>
          </cell>
        </row>
        <row r="301">
          <cell r="I301">
            <v>0</v>
          </cell>
        </row>
        <row r="302">
          <cell r="I302">
            <v>0</v>
          </cell>
        </row>
        <row r="303">
          <cell r="I303">
            <v>0</v>
          </cell>
        </row>
        <row r="304">
          <cell r="I304">
            <v>0</v>
          </cell>
        </row>
        <row r="305">
          <cell r="I305">
            <v>0</v>
          </cell>
        </row>
        <row r="306">
          <cell r="I306">
            <v>0</v>
          </cell>
        </row>
        <row r="307">
          <cell r="I307">
            <v>0</v>
          </cell>
        </row>
        <row r="308">
          <cell r="I308">
            <v>0</v>
          </cell>
        </row>
        <row r="309">
          <cell r="I309">
            <v>0</v>
          </cell>
        </row>
        <row r="310">
          <cell r="I310">
            <v>0</v>
          </cell>
        </row>
        <row r="311">
          <cell r="I311">
            <v>0</v>
          </cell>
        </row>
        <row r="312">
          <cell r="I312">
            <v>0</v>
          </cell>
        </row>
        <row r="313">
          <cell r="I313">
            <v>0</v>
          </cell>
        </row>
        <row r="314">
          <cell r="I314">
            <v>0</v>
          </cell>
        </row>
        <row r="315">
          <cell r="I315">
            <v>0</v>
          </cell>
        </row>
        <row r="316">
          <cell r="I316">
            <v>0</v>
          </cell>
        </row>
        <row r="317">
          <cell r="I317">
            <v>0</v>
          </cell>
        </row>
        <row r="318">
          <cell r="I318">
            <v>0</v>
          </cell>
        </row>
        <row r="319">
          <cell r="I319">
            <v>0</v>
          </cell>
        </row>
        <row r="320">
          <cell r="I320">
            <v>0</v>
          </cell>
        </row>
        <row r="321">
          <cell r="I321">
            <v>0</v>
          </cell>
        </row>
        <row r="322">
          <cell r="I322">
            <v>0</v>
          </cell>
        </row>
        <row r="323">
          <cell r="I323">
            <v>0</v>
          </cell>
        </row>
        <row r="324">
          <cell r="I324">
            <v>0</v>
          </cell>
        </row>
        <row r="325">
          <cell r="I325">
            <v>0</v>
          </cell>
        </row>
        <row r="326">
          <cell r="I326">
            <v>0</v>
          </cell>
        </row>
        <row r="327">
          <cell r="I327">
            <v>0</v>
          </cell>
        </row>
        <row r="328">
          <cell r="I328">
            <v>0</v>
          </cell>
        </row>
        <row r="329">
          <cell r="I329">
            <v>0</v>
          </cell>
        </row>
        <row r="330">
          <cell r="I330">
            <v>0</v>
          </cell>
        </row>
        <row r="331">
          <cell r="I331">
            <v>0</v>
          </cell>
        </row>
        <row r="332">
          <cell r="I332">
            <v>0</v>
          </cell>
        </row>
        <row r="333">
          <cell r="I333">
            <v>0</v>
          </cell>
        </row>
        <row r="334">
          <cell r="I334">
            <v>0</v>
          </cell>
        </row>
        <row r="335">
          <cell r="I335">
            <v>0</v>
          </cell>
        </row>
        <row r="336">
          <cell r="I336">
            <v>0</v>
          </cell>
        </row>
        <row r="337">
          <cell r="I337">
            <v>0</v>
          </cell>
        </row>
        <row r="338">
          <cell r="I338">
            <v>0</v>
          </cell>
        </row>
        <row r="339">
          <cell r="I339">
            <v>0</v>
          </cell>
        </row>
        <row r="340">
          <cell r="I340">
            <v>0</v>
          </cell>
        </row>
        <row r="341">
          <cell r="I341">
            <v>0</v>
          </cell>
        </row>
        <row r="342">
          <cell r="I342">
            <v>0</v>
          </cell>
        </row>
        <row r="343">
          <cell r="I343">
            <v>0</v>
          </cell>
        </row>
        <row r="344">
          <cell r="I344">
            <v>0</v>
          </cell>
        </row>
        <row r="345">
          <cell r="I345">
            <v>0</v>
          </cell>
        </row>
        <row r="346">
          <cell r="I346">
            <v>0</v>
          </cell>
        </row>
        <row r="347">
          <cell r="I347">
            <v>0</v>
          </cell>
        </row>
        <row r="348">
          <cell r="I348">
            <v>0</v>
          </cell>
        </row>
        <row r="349">
          <cell r="I349">
            <v>0</v>
          </cell>
        </row>
        <row r="350">
          <cell r="I350">
            <v>0</v>
          </cell>
        </row>
        <row r="351">
          <cell r="I351">
            <v>0</v>
          </cell>
        </row>
        <row r="352">
          <cell r="I352">
            <v>0</v>
          </cell>
        </row>
        <row r="353">
          <cell r="I353">
            <v>0</v>
          </cell>
        </row>
        <row r="354">
          <cell r="I354">
            <v>0</v>
          </cell>
        </row>
        <row r="355">
          <cell r="I355">
            <v>0</v>
          </cell>
        </row>
        <row r="356">
          <cell r="I356">
            <v>0</v>
          </cell>
        </row>
        <row r="357">
          <cell r="I357">
            <v>0</v>
          </cell>
        </row>
        <row r="358">
          <cell r="I358">
            <v>0</v>
          </cell>
        </row>
        <row r="359">
          <cell r="I359">
            <v>0</v>
          </cell>
        </row>
        <row r="360">
          <cell r="I360">
            <v>0</v>
          </cell>
        </row>
        <row r="361">
          <cell r="I361">
            <v>0</v>
          </cell>
        </row>
        <row r="362">
          <cell r="I362">
            <v>0</v>
          </cell>
        </row>
        <row r="363">
          <cell r="I363">
            <v>0</v>
          </cell>
        </row>
        <row r="364">
          <cell r="I364">
            <v>0</v>
          </cell>
        </row>
        <row r="365">
          <cell r="I365">
            <v>0</v>
          </cell>
        </row>
        <row r="366">
          <cell r="I366">
            <v>0</v>
          </cell>
        </row>
        <row r="367">
          <cell r="I367">
            <v>0</v>
          </cell>
        </row>
        <row r="368">
          <cell r="I368">
            <v>0</v>
          </cell>
        </row>
        <row r="369">
          <cell r="I369">
            <v>0</v>
          </cell>
        </row>
        <row r="370">
          <cell r="I370">
            <v>0</v>
          </cell>
        </row>
        <row r="371">
          <cell r="I371">
            <v>0</v>
          </cell>
        </row>
        <row r="372">
          <cell r="I372">
            <v>0</v>
          </cell>
        </row>
        <row r="373">
          <cell r="I373">
            <v>0</v>
          </cell>
        </row>
        <row r="374">
          <cell r="I374">
            <v>0</v>
          </cell>
        </row>
        <row r="375">
          <cell r="I375">
            <v>0</v>
          </cell>
        </row>
        <row r="376">
          <cell r="I376">
            <v>0</v>
          </cell>
        </row>
        <row r="377">
          <cell r="I377">
            <v>0</v>
          </cell>
        </row>
      </sheetData>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Common Data"/>
      <sheetName val="Fruit Drying"/>
      <sheetName val="Milk Collection"/>
      <sheetName val="Carpentry"/>
      <sheetName val="Oil Mill - Improvement"/>
      <sheetName val="Oil Mill - New"/>
      <sheetName val="Apiculture"/>
      <sheetName val="Meat Processing"/>
      <sheetName val="Walnut Drying"/>
      <sheetName val="Unit Streams"/>
      <sheetName val="Analysis"/>
      <sheetName val="Sensitivity Analysis"/>
    </sheetNames>
    <sheetDataSet>
      <sheetData sheetId="0"/>
      <sheetData sheetId="1">
        <row r="80">
          <cell r="C80">
            <v>0.13879871978984709</v>
          </cell>
        </row>
      </sheetData>
      <sheetData sheetId="2"/>
      <sheetData sheetId="3"/>
      <sheetData sheetId="4"/>
      <sheetData sheetId="5">
        <row r="82">
          <cell r="C82">
            <v>0.10504590517817372</v>
          </cell>
        </row>
      </sheetData>
      <sheetData sheetId="6"/>
      <sheetData sheetId="7"/>
      <sheetData sheetId="8"/>
      <sheetData sheetId="9"/>
      <sheetData sheetId="10"/>
      <sheetData sheetId="1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ExR and other Drivers"/>
    </sheetNames>
    <sheetDataSet>
      <sheetData sheetId="0" refreshError="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base"/>
    </sheetNames>
    <sheetDataSet>
      <sheetData sheetId="0" refreshError="1"/>
    </sheetDataSet>
  </externalBook>
</externalLink>
</file>

<file path=xl/pivotCache/_rels/pivotCacheDefinition1.xml.rels><?xml version="1.0" encoding="UTF-8" standalone="yes"?>
<Relationships xmlns="http://schemas.openxmlformats.org/package/2006/relationships"><Relationship Id="rId2" Type="http://schemas.microsoft.com/office/2006/relationships/xlExternalLinkPath/xlPathMissing" Target="IT1%20-%20IT10%20Consolidated%20Economic%20&amp;%20Financial%20Analysis.xlsx" TargetMode="External"/><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Chris Dickinson" refreshedDate="44307.724586458331" createdVersion="6" refreshedVersion="3" minRefreshableVersion="3" recordCount="64">
  <cacheSource type="worksheet">
    <worksheetSource ref="D1:Q1048576" sheet="Detailed Budget" r:id="rId2"/>
  </cacheSource>
  <cacheFields count="15">
    <cacheField name="Financing Source" numFmtId="0">
      <sharedItems containsBlank="1" count="3">
        <s v="GCF"/>
        <m/>
        <s v="Accredited Entity"/>
      </sharedItems>
    </cacheField>
    <cacheField name="Financial Instrument  (Loan/Grant etc)" numFmtId="0">
      <sharedItems containsBlank="1"/>
    </cacheField>
    <cacheField name="Budget Account Description " numFmtId="0">
      <sharedItems containsBlank="1" count="9">
        <s v="Construction cost "/>
        <s v="Professional/ Contractual Services "/>
        <s v="Constuction cost "/>
        <s v="Training, workshops, and conference"/>
        <s v="Travel"/>
        <s v="Equipment"/>
        <m/>
        <s v="Local consultants"/>
        <s v="Staff Cost "/>
      </sharedItems>
    </cacheField>
    <cacheField name="Notes and&#10; Assumptions*" numFmtId="0">
      <sharedItems containsBlank="1"/>
    </cacheField>
    <cacheField name="Unit" numFmtId="0">
      <sharedItems containsBlank="1"/>
    </cacheField>
    <cacheField name="Quantity" numFmtId="0">
      <sharedItems containsString="0" containsBlank="1" containsNumber="1" containsInteger="1" minValue="1" maxValue="260000"/>
    </cacheField>
    <cacheField name="Unit Cost (000 USD)" numFmtId="0">
      <sharedItems containsString="0" containsBlank="1" containsNumber="1" minValue="2.5850192463080016E-2" maxValue="4805.6667250882474"/>
    </cacheField>
    <cacheField name="Total Cost (000 USD)" numFmtId="0">
      <sharedItems containsString="0" containsBlank="1" containsNumber="1" minValue="12" maxValue="47418.22959936862"/>
    </cacheField>
    <cacheField name="Amount Year 1&#10; (000 USD)" numFmtId="0">
      <sharedItems containsString="0" containsBlank="1" containsNumber="1" minValue="0" maxValue="26066.62044065279"/>
    </cacheField>
    <cacheField name="Amount Year 2&#10; (000 USD)" numFmtId="0">
      <sharedItems containsString="0" containsBlank="1" containsNumber="1" minValue="0" maxValue="35235.872127373637"/>
    </cacheField>
    <cacheField name="Amount Year 3&#10; (000 USD)" numFmtId="0">
      <sharedItems containsString="0" containsBlank="1" containsNumber="1" minValue="0" maxValue="34867.482179677172"/>
    </cacheField>
    <cacheField name="Amount Year 4&#10; (000 USD)" numFmtId="0">
      <sharedItems containsString="0" containsBlank="1" containsNumber="1" minValue="0" maxValue="31965.064250495718"/>
    </cacheField>
    <cacheField name="Amount Year 5 (000 USD)" numFmtId="0">
      <sharedItems containsString="0" containsBlank="1" containsNumber="1" minValue="0" maxValue="31066.027754036695"/>
    </cacheField>
    <cacheField name="Amount Year 6 (000 USD)" numFmtId="0">
      <sharedItems containsString="0" containsBlank="1" containsNumber="1" minValue="0" maxValue="22159.839398610282"/>
    </cacheField>
    <cacheField name="Total&#10; (000 USD)" numFmtId="0">
      <sharedItems containsString="0" containsBlank="1" containsNumber="1" minValue="12" maxValue="181360.90615084631"/>
    </cacheField>
  </cacheFields>
</pivotCacheDefinition>
</file>

<file path=xl/pivotCache/pivotCacheRecords1.xml><?xml version="1.0" encoding="utf-8"?>
<pivotCacheRecords xmlns="http://schemas.openxmlformats.org/spreadsheetml/2006/main" xmlns:r="http://schemas.openxmlformats.org/officeDocument/2006/relationships" count="64">
  <r>
    <x v="0"/>
    <s v="?"/>
    <x v="0"/>
    <s v="A1"/>
    <s v="Ha"/>
    <n v="15000"/>
    <n v="0.85066377100274937"/>
    <n v="12759.956565041241"/>
    <n v="526.1868211758765"/>
    <n v="3866.7357412099104"/>
    <n v="3592.4475894836546"/>
    <n v="2822.7696137669182"/>
    <n v="1951.8167994048815"/>
    <n v="0"/>
    <n v="12759.956565041241"/>
  </r>
  <r>
    <x v="1"/>
    <s v="?"/>
    <x v="1"/>
    <s v="A1"/>
    <s v="Ha"/>
    <n v="15000"/>
    <n v="0.15011713605930874"/>
    <n v="2251.7570408896308"/>
    <n v="92.856497854566442"/>
    <n v="682.36513080174893"/>
    <n v="633.96133932064492"/>
    <n v="498.13581419416198"/>
    <n v="344.43825871850851"/>
    <m/>
    <n v="2251.7570408896308"/>
  </r>
  <r>
    <x v="0"/>
    <s v="?"/>
    <x v="2"/>
    <s v="A2"/>
    <s v="Ha"/>
    <n v="8100"/>
    <n v="0.52884141719759092"/>
    <n v="4283.6154793004862"/>
    <n v="95.281114142720028"/>
    <n v="792.25242221458916"/>
    <n v="859.55858294395989"/>
    <n v="873.87328593928999"/>
    <n v="837.77339665006298"/>
    <n v="824.87667740986421"/>
    <n v="4283.6154793004862"/>
  </r>
  <r>
    <x v="1"/>
    <s v="?"/>
    <x v="1"/>
    <s v="A2"/>
    <s v="Ha"/>
    <n v="8100"/>
    <n v="9.3064680013808729E-2"/>
    <n v="753.82390811185076"/>
    <n v="16.81431426048"/>
    <n v="139.80925097904515"/>
    <n v="154.62798522540501"/>
    <n v="157.08352104810999"/>
    <n v="139.922364114717"/>
    <n v="145.56647248409368"/>
    <n v="753.82390811185076"/>
  </r>
  <r>
    <x v="0"/>
    <s v="?"/>
    <x v="3"/>
    <s v="A3"/>
    <s v="Sessions"/>
    <n v="30"/>
    <n v="6.6855048879233818"/>
    <n v="200.56514663770145"/>
    <n v="30.933068618583427"/>
    <n v="42.010734484311428"/>
    <n v="42.273482871564127"/>
    <n v="42.539384239463928"/>
    <n v="42.808476423778529"/>
    <n v="0"/>
    <n v="200.56514663770145"/>
  </r>
  <r>
    <x v="1"/>
    <s v="?"/>
    <x v="1"/>
    <s v="A3"/>
    <s v="Sessions"/>
    <n v="30"/>
    <n v="3.3329989634928099"/>
    <n v="99.989968904784291"/>
    <n v="10.818033072"/>
    <n v="21.895698937728"/>
    <n v="22.158447324980749"/>
    <n v="22.4243486928805"/>
    <n v="22.693440877195052"/>
    <n v="0"/>
    <n v="99.989968904784291"/>
  </r>
  <r>
    <x v="0"/>
    <s v="?"/>
    <x v="3"/>
    <s v="A4"/>
    <s v="Sessions"/>
    <n v="100"/>
    <n v="1.5371672329950588"/>
    <n v="153.71672329950587"/>
    <n v="17.792818486152854"/>
    <n v="24.061095934728854"/>
    <n v="31.534827838806656"/>
    <n v="37.05122605856856"/>
    <n v="24.327009914551205"/>
    <n v="18.949745066697744"/>
    <n v="153.71672329950587"/>
  </r>
  <r>
    <x v="1"/>
    <s v="?"/>
    <x v="1"/>
    <s v="A4"/>
    <s v="Sessions"/>
    <n v="100"/>
    <n v="0.53141545566588799"/>
    <n v="53.141545566588803"/>
    <n v="1.0302888640000001"/>
    <n v="7.2985663125759999"/>
    <n v="14.77229821665385"/>
    <n v="20.288696436415702"/>
    <n v="7.5644802923983496"/>
    <n v="2.1872154445448948"/>
    <n v="53.141545566588803"/>
  </r>
  <r>
    <x v="0"/>
    <s v="?"/>
    <x v="3"/>
    <s v="A5"/>
    <s v="Number"/>
    <n v="60"/>
    <n v="2.2199811877454683"/>
    <n v="133.1988712647281"/>
    <n v="20.440660866632854"/>
    <n v="21.548303818541974"/>
    <n v="21.605733108898644"/>
    <n v="21.663851550739594"/>
    <n v="23.927173099095864"/>
    <n v="24.013148820819183"/>
    <n v="133.1988712647281"/>
  </r>
  <r>
    <x v="1"/>
    <s v="?"/>
    <x v="4"/>
    <s v="A5"/>
    <s v="Number"/>
    <n v="60"/>
    <n v="0.7249709673735778"/>
    <n v="43.498258042414669"/>
    <n v="4.9041749926400016"/>
    <n v="6.3810322618521615"/>
    <n v="6.457604648994387"/>
    <n v="6.5350959047823203"/>
    <n v="9.5528579692573512"/>
    <n v="9.6674922648884447"/>
    <n v="43.498258042414669"/>
  </r>
  <r>
    <x v="1"/>
    <s v="?"/>
    <x v="1"/>
    <s v="A5"/>
    <s v="Number"/>
    <n v="60"/>
    <n v="0.5437282255301833"/>
    <n v="32.623693531811"/>
    <n v="3.6781312444800003"/>
    <n v="4.7857741963891209"/>
    <n v="4.8432034867457894"/>
    <n v="4.9013219285867393"/>
    <n v="7.1646434769430138"/>
    <n v="7.2506191986663335"/>
    <n v="32.623693531811"/>
  </r>
  <r>
    <x v="0"/>
    <s v="?"/>
    <x v="2"/>
    <s v="A6"/>
    <s v="Number"/>
    <n v="150"/>
    <n v="23.070340196942105"/>
    <n v="3460.551029541316"/>
    <n v="102.46222752480001"/>
    <n v="933.2259682958786"/>
    <n v="1469.105057646223"/>
    <n v="955.75777607441421"/>
    <n v="0"/>
    <n v="0"/>
    <n v="3460.551029541316"/>
  </r>
  <r>
    <x v="1"/>
    <s v="?"/>
    <x v="1"/>
    <s v="A6"/>
    <s v="Number"/>
    <n v="150"/>
    <n v="4.071236505342724"/>
    <n v="610.68547580140864"/>
    <n v="18.081569563200002"/>
    <n v="164.68693558162565"/>
    <n v="259.25383370227468"/>
    <n v="168.66313695430838"/>
    <n v="0"/>
    <n v="0"/>
    <n v="610.68547580140864"/>
  </r>
  <r>
    <x v="2"/>
    <s v="?"/>
    <x v="2"/>
    <s v="A7"/>
    <s v="Ha"/>
    <n v="16270"/>
    <n v="0.87020846310823796"/>
    <n v="14158.291694771031"/>
    <n v="3947.7954264953587"/>
    <n v="2894.7413449252408"/>
    <n v="2460.9027581949149"/>
    <n v="2139.2998464790148"/>
    <n v="2715.5523186765017"/>
    <n v="0"/>
    <n v="14158.291694771031"/>
  </r>
  <r>
    <x v="1"/>
    <s v="?"/>
    <x v="1"/>
    <s v="A7"/>
    <s v="Ha"/>
    <n v="16270"/>
    <n v="0.13015696548795364"/>
    <n v="2117.6538284890057"/>
    <n v="717.25801644035755"/>
    <n v="531.42494322210132"/>
    <n v="278.39460438733784"/>
    <n v="235.26291408453221"/>
    <n v="355.31335035467674"/>
    <n v="0"/>
    <n v="2117.6538284890057"/>
  </r>
  <r>
    <x v="0"/>
    <s v="?"/>
    <x v="2"/>
    <s v="A8"/>
    <s v="Farmers"/>
    <n v="45000"/>
    <n v="2.5850192463080016E-2"/>
    <n v="1163.2586608386007"/>
    <n v="344.82480417000011"/>
    <n v="465.28360242672005"/>
    <n v="353.15025424188048"/>
    <n v="0"/>
    <n v="0"/>
    <n v="0"/>
    <n v="1163.2586608386007"/>
  </r>
  <r>
    <x v="1"/>
    <s v="?"/>
    <x v="3"/>
    <s v="A8"/>
    <s v="Farmers"/>
    <n v="45000"/>
    <n v="0.12922833728295371"/>
    <n v="5815.2751777329177"/>
    <n v="406.50506962215286"/>
    <n v="1055.8378571221529"/>
    <n v="1185.4186796221529"/>
    <n v="1055.8378571221529"/>
    <n v="1055.8378571221529"/>
    <n v="1055.8378571221529"/>
    <n v="5815.2751777329177"/>
  </r>
  <r>
    <x v="1"/>
    <s v="?"/>
    <x v="1"/>
    <s v="A8"/>
    <s v="Farmers"/>
    <n v="45000"/>
    <n v="0.21855641202106374"/>
    <n v="9835.0385409478677"/>
    <n v="721.97478482040015"/>
    <n v="1821.3801687782498"/>
    <n v="1931.2573033388999"/>
    <n v="1794.1038658302368"/>
    <n v="1795.6607563251998"/>
    <n v="1770.6616618548819"/>
    <n v="9835.0385409478677"/>
  </r>
  <r>
    <x v="0"/>
    <s v="?"/>
    <x v="1"/>
    <s v="A9"/>
    <s v="Contracts"/>
    <n v="11"/>
    <n v="20.018181818181816"/>
    <n v="220.2"/>
    <n v="20"/>
    <n v="50"/>
    <n v="50"/>
    <n v="50"/>
    <n v="50.2"/>
    <n v="0"/>
    <n v="220.2"/>
  </r>
  <r>
    <x v="0"/>
    <s v="?"/>
    <x v="5"/>
    <s v="A10"/>
    <s v="Lumpsum"/>
    <n v="1"/>
    <n v="68"/>
    <n v="68"/>
    <n v="68"/>
    <n v="0"/>
    <n v="0"/>
    <n v="0"/>
    <n v="0"/>
    <n v="0"/>
    <n v="68"/>
  </r>
  <r>
    <x v="1"/>
    <s v="?"/>
    <x v="1"/>
    <s v="A10"/>
    <s v="Lumpsum"/>
    <n v="1"/>
    <n v="12"/>
    <n v="12"/>
    <n v="12"/>
    <n v="0"/>
    <n v="0"/>
    <n v="0"/>
    <n v="0"/>
    <n v="0"/>
    <n v="12"/>
  </r>
  <r>
    <x v="2"/>
    <s v="?"/>
    <x v="5"/>
    <s v="A11"/>
    <s v="Family Farmers"/>
    <n v="260000"/>
    <n v="0.18237780615141777"/>
    <n v="47418.22959936862"/>
    <n v="7853.4491501149823"/>
    <n v="8078.470315465629"/>
    <n v="8055.1901752565418"/>
    <n v="7856.3117435574768"/>
    <n v="7822.0499480946819"/>
    <n v="7752.7582668793129"/>
    <n v="47418.22959936862"/>
  </r>
  <r>
    <x v="1"/>
    <s v="?"/>
    <x v="1"/>
    <s v="A11"/>
    <s v="Family Farmers"/>
    <n v="260000"/>
    <n v="4.9708043568793672E-2"/>
    <n v="12924.091327886355"/>
    <n v="2243.6208470206966"/>
    <n v="2284.1246567838134"/>
    <n v="2279.9342315461777"/>
    <n v="2244.1361138403458"/>
    <n v="2237.9689906570429"/>
    <n v="1634.3064880382763"/>
    <n v="12924.091327886355"/>
  </r>
  <r>
    <x v="1"/>
    <s v="?"/>
    <x v="6"/>
    <m/>
    <m/>
    <m/>
    <m/>
    <m/>
    <n v="17276.707819350078"/>
    <n v="23888.31954375283"/>
    <n v="23706.847992406711"/>
    <n v="21006.6394137024"/>
    <n v="19444.572122171645"/>
    <n v="13246.075644584198"/>
    <n v="118569.16253596786"/>
  </r>
  <r>
    <x v="0"/>
    <s v="?"/>
    <x v="2"/>
    <s v="2A"/>
    <s v="Km"/>
    <n v="540"/>
    <n v="5.3419836171083679"/>
    <n v="2884.6711532385189"/>
    <n v="178.27583974877874"/>
    <n v="519.09376947729197"/>
    <n v="525.19233471101961"/>
    <n v="695.48408272755171"/>
    <n v="613.94157643356857"/>
    <n v="352.68355014030863"/>
    <n v="2884.6711532385189"/>
  </r>
  <r>
    <x v="1"/>
    <s v="?"/>
    <x v="1"/>
    <s v="2A"/>
    <s v="Km"/>
    <n v="540"/>
    <n v="0.94246769713677103"/>
    <n v="508.93255645385636"/>
    <n v="31.460442308608009"/>
    <n v="91.60478284893388"/>
    <n v="92.681000243121119"/>
    <n v="121.85013224603854"/>
    <n v="108.46027819415916"/>
    <n v="62.875920612995643"/>
    <n v="508.93255645385636"/>
  </r>
  <r>
    <x v="2"/>
    <s v="?"/>
    <x v="2"/>
    <s v="2B"/>
    <s v="Km"/>
    <n v="550"/>
    <n v="19.782916930907984"/>
    <n v="10880.604311999392"/>
    <n v="1923.7794621099363"/>
    <n v="2037.1160907903306"/>
    <n v="2068.7424719626415"/>
    <n v="2003.2121664184099"/>
    <n v="2192.5145890158997"/>
    <n v="655.2395317021743"/>
    <n v="10880.604311999392"/>
  </r>
  <r>
    <x v="1"/>
    <s v="?"/>
    <x v="1"/>
    <s v="2B"/>
    <s v="Km"/>
    <n v="550"/>
    <n v="3.2787760660584442"/>
    <n v="1803.3268363321442"/>
    <n v="263.58902165177039"/>
    <n v="502.99181459669876"/>
    <n v="408.4303645842831"/>
    <n v="181.53666157164471"/>
    <n v="230.98989367261231"/>
    <n v="215.78908025513482"/>
    <n v="1803.3268363321442"/>
  </r>
  <r>
    <x v="0"/>
    <s v="?"/>
    <x v="3"/>
    <s v="2C"/>
    <s v="Actors"/>
    <n v="2000"/>
    <n v="0.47448805257800541"/>
    <n v="948.97610515601082"/>
    <n v="69.196600136499555"/>
    <n v="169.43716770370887"/>
    <n v="171.23086336068786"/>
    <n v="169.84608336555087"/>
    <n v="145.86299327908486"/>
    <n v="223.40239731047888"/>
    <n v="948.97610515601082"/>
  </r>
  <r>
    <x v="1"/>
    <s v="?"/>
    <x v="6"/>
    <m/>
    <m/>
    <m/>
    <m/>
    <m/>
    <n v="2466.3013659555932"/>
    <n v="3320.2436254169643"/>
    <n v="3266.2770348617532"/>
    <n v="3171.9291263291957"/>
    <n v="3291.7693305953248"/>
    <n v="1509.9904800210923"/>
    <n v="17026.510963179924"/>
  </r>
  <r>
    <x v="0"/>
    <s v="?"/>
    <x v="5"/>
    <s v="3A"/>
    <s v="Family Farmers"/>
    <n v="2500"/>
    <n v="0.34839342285858776"/>
    <n v="870.98355714646948"/>
    <n v="0"/>
    <n v="170.39784955519997"/>
    <n v="172.2746237498624"/>
    <n v="174.17391923486079"/>
    <n v="176.09600626567905"/>
    <n v="178.04115834086721"/>
    <n v="870.98355714646948"/>
  </r>
  <r>
    <x v="1"/>
    <s v="?"/>
    <x v="1"/>
    <s v="3A"/>
    <s v="Family Farmers"/>
    <n v="2500"/>
    <n v="0.23360761523905854"/>
    <n v="584.01903809764633"/>
    <n v="0"/>
    <n v="114.2652330368"/>
    <n v="115.51641583324161"/>
    <n v="116.78261282324054"/>
    <n v="118.06400417711937"/>
    <n v="119.39077222724482"/>
    <n v="584.01903809764633"/>
  </r>
  <r>
    <x v="2"/>
    <s v="?"/>
    <x v="1"/>
    <s v="3B"/>
    <s v="Family Farmers"/>
    <n v="70000"/>
    <n v="6.5114841969646897E-2"/>
    <n v="4558.0389378752825"/>
    <n v="332.33210859519932"/>
    <n v="581.24251051481133"/>
    <n v="684.83921906691376"/>
    <n v="554.68476222989739"/>
    <n v="1205.3254697138609"/>
    <n v="1199.6148677545996"/>
    <n v="4558.0389378752825"/>
  </r>
  <r>
    <x v="0"/>
    <s v="?"/>
    <x v="3"/>
    <s v="3C"/>
    <s v="Actors"/>
    <n v="2000"/>
    <n v="0.20528758886645856"/>
    <n v="410.57517773291715"/>
    <n v="82.115035546583428"/>
    <n v="82.115035546583428"/>
    <n v="82.115035546583428"/>
    <n v="82.115035546583428"/>
    <n v="82.115035546583428"/>
    <n v="0"/>
    <n v="410.57517773291715"/>
  </r>
  <r>
    <x v="0"/>
    <s v="?"/>
    <x v="4"/>
    <s v="3D"/>
    <s v="Exchange visits"/>
    <n v="30"/>
    <n v="15.646666666666667"/>
    <n v="469.4"/>
    <n v="95"/>
    <n v="140"/>
    <n v="140"/>
    <n v="94.4"/>
    <n v="0"/>
    <n v="0"/>
    <n v="469.4"/>
  </r>
  <r>
    <x v="0"/>
    <s v="?"/>
    <x v="7"/>
    <s v="3E"/>
    <s v="Studies Shared"/>
    <n v="20"/>
    <n v="7"/>
    <n v="140"/>
    <n v="0"/>
    <n v="28"/>
    <n v="28"/>
    <n v="42"/>
    <n v="42"/>
    <n v="0"/>
    <n v="140"/>
  </r>
  <r>
    <x v="1"/>
    <s v="?"/>
    <x v="3"/>
    <s v="3E"/>
    <s v="Studies Shared"/>
    <n v="20"/>
    <n v="33.028758886645861"/>
    <n v="660.57517773291715"/>
    <n v="0"/>
    <n v="137.14379443322929"/>
    <n v="137.14379443322929"/>
    <n v="193.14379443322929"/>
    <n v="193.14379443322929"/>
    <n v="0"/>
    <n v="660.57517773291715"/>
  </r>
  <r>
    <x v="0"/>
    <s v="?"/>
    <x v="5"/>
    <s v="3F"/>
    <s v="Stations"/>
    <n v="6"/>
    <n v="30"/>
    <n v="180"/>
    <n v="180"/>
    <n v="0"/>
    <n v="0"/>
    <n v="0"/>
    <n v="0"/>
    <n v="0"/>
    <n v="180"/>
  </r>
  <r>
    <x v="0"/>
    <s v="?"/>
    <x v="3"/>
    <s v="3G"/>
    <s v="Lumpsum"/>
    <n v="5"/>
    <n v="220.11503554658344"/>
    <n v="1100.5751777329172"/>
    <n v="0"/>
    <n v="220.11503554658344"/>
    <n v="220.11503554658344"/>
    <n v="220.11503554658344"/>
    <n v="220.11503554658344"/>
    <n v="220.11503554658344"/>
    <n v="1100.5751777329172"/>
  </r>
  <r>
    <x v="0"/>
    <s v="?"/>
    <x v="1"/>
    <s v="3H"/>
    <s v="Lumpsum"/>
    <n v="3"/>
    <n v="164"/>
    <n v="492"/>
    <n v="196.8"/>
    <n v="196.8"/>
    <n v="98.4"/>
    <n v="0"/>
    <n v="0"/>
    <n v="0"/>
    <n v="492"/>
  </r>
  <r>
    <x v="1"/>
    <s v="?"/>
    <x v="6"/>
    <m/>
    <m/>
    <m/>
    <m/>
    <m/>
    <n v="886.24714414178266"/>
    <n v="1670.0794586332072"/>
    <n v="1678.4041241764139"/>
    <n v="1477.4151598143949"/>
    <n v="2036.8593456830554"/>
    <n v="1717.1618338692949"/>
    <n v="9466.1670663181485"/>
  </r>
  <r>
    <x v="0"/>
    <s v="?"/>
    <x v="5"/>
    <s v="PM1"/>
    <s v="Number"/>
    <n v="2"/>
    <n v="27.817799328000007"/>
    <n v="55.635598656000013"/>
    <n v="55.635598656000013"/>
    <n v="0"/>
    <n v="0"/>
    <n v="0"/>
    <n v="0"/>
    <n v="0"/>
    <n v="55.635598656000013"/>
  </r>
  <r>
    <x v="0"/>
    <s v="?"/>
    <x v="1"/>
    <s v="PM2"/>
    <s v="Lumpsum"/>
    <n v="6"/>
    <n v="31.85089622488232"/>
    <n v="191.10537734929392"/>
    <n v="30.908665920000011"/>
    <n v="31.279569911040003"/>
    <n v="31.654924749972484"/>
    <n v="32.034783846972154"/>
    <n v="32.41920125313581"/>
    <n v="32.808231668173455"/>
    <n v="191.10537734929392"/>
  </r>
  <r>
    <x v="0"/>
    <s v="?"/>
    <x v="7"/>
    <s v="PM3"/>
    <s v="Lumpsum"/>
    <n v="6"/>
    <n v="13.333333333333334"/>
    <n v="80"/>
    <n v="13"/>
    <n v="13"/>
    <n v="13"/>
    <n v="13"/>
    <n v="13"/>
    <n v="15"/>
    <n v="80"/>
  </r>
  <r>
    <x v="1"/>
    <s v="?"/>
    <x v="1"/>
    <s v="PM3"/>
    <s v="Lumpsum"/>
    <n v="6"/>
    <n v="31.625"/>
    <n v="189.75"/>
    <n v="31"/>
    <n v="31"/>
    <n v="31"/>
    <n v="31"/>
    <n v="31"/>
    <n v="34.75"/>
    <n v="189.75"/>
  </r>
  <r>
    <x v="0"/>
    <s v="?"/>
    <x v="5"/>
    <s v="PM4"/>
    <s v="Lumpsum"/>
    <n v="1"/>
    <n v="51.514443200000009"/>
    <n v="51.514443200000009"/>
    <n v="51.514443200000009"/>
    <n v="0"/>
    <n v="0"/>
    <n v="0"/>
    <n v="0"/>
    <n v="0"/>
    <n v="51.514443200000009"/>
  </r>
  <r>
    <x v="2"/>
    <s v="?"/>
    <x v="8"/>
    <s v="PM5"/>
    <s v="Year"/>
    <n v="7"/>
    <n v="4805.6667250882474"/>
    <n v="33639.667075617734"/>
    <n v="4907.6318663583997"/>
    <n v="5933.9252701438099"/>
    <n v="5791.9181080523504"/>
    <n v="5884.30617142762"/>
    <n v="5867.3042438139"/>
    <n v="5254.5814158216499"/>
    <n v="33639.667075617734"/>
  </r>
  <r>
    <x v="0"/>
    <s v="?"/>
    <x v="8"/>
    <s v="PM6"/>
    <s v="Year"/>
    <n v="6"/>
    <n v="20.400000000000002"/>
    <n v="122.4"/>
    <n v="20.399999999999999"/>
    <n v="20.399999999999999"/>
    <n v="20.399999999999999"/>
    <n v="20.399999999999999"/>
    <n v="20.399999999999999"/>
    <n v="20.399999999999999"/>
    <n v="122.4"/>
  </r>
  <r>
    <x v="0"/>
    <s v="?"/>
    <x v="8"/>
    <s v="PM7"/>
    <s v="Year"/>
    <n v="6"/>
    <n v="18.239999999999998"/>
    <n v="109.43999999999998"/>
    <n v="18.239999999999998"/>
    <n v="18.239999999999998"/>
    <n v="18.239999999999998"/>
    <n v="18.239999999999998"/>
    <n v="18.239999999999998"/>
    <n v="18.239999999999998"/>
    <n v="109.43999999999998"/>
  </r>
  <r>
    <x v="0"/>
    <s v="?"/>
    <x v="8"/>
    <s v="PM8"/>
    <s v="Year"/>
    <n v="6"/>
    <n v="15.840000000000002"/>
    <n v="95.04"/>
    <n v="15.84"/>
    <n v="15.84"/>
    <n v="15.84"/>
    <n v="15.84"/>
    <n v="15.84"/>
    <n v="15.84"/>
    <n v="95.04"/>
  </r>
  <r>
    <x v="0"/>
    <s v="?"/>
    <x v="8"/>
    <s v="PM9"/>
    <s v="Year"/>
    <n v="6"/>
    <n v="25"/>
    <n v="150"/>
    <n v="25"/>
    <n v="25"/>
    <n v="25"/>
    <n v="25"/>
    <n v="25"/>
    <n v="25"/>
    <n v="150"/>
  </r>
  <r>
    <x v="0"/>
    <s v="?"/>
    <x v="8"/>
    <s v="PM10"/>
    <s v="Year"/>
    <n v="6"/>
    <n v="3.6"/>
    <n v="21.6"/>
    <n v="3.6"/>
    <n v="3.6"/>
    <n v="3.6"/>
    <n v="3.6"/>
    <n v="3.6"/>
    <n v="3.6"/>
    <n v="21.6"/>
  </r>
  <r>
    <x v="0"/>
    <s v="?"/>
    <x v="8"/>
    <s v="PM11"/>
    <s v="Year"/>
    <n v="6"/>
    <n v="23.782002514578796"/>
    <n v="142.69201508747278"/>
    <n v="23.078470553600003"/>
    <n v="23.355412200243201"/>
    <n v="23.63567714664612"/>
    <n v="23.919305272405875"/>
    <n v="24.206336935674742"/>
    <n v="24.496812978902842"/>
    <n v="142.69201508747278"/>
  </r>
  <r>
    <x v="0"/>
    <s v="?"/>
    <x v="8"/>
    <s v="PM12"/>
    <s v="Year"/>
    <n v="6"/>
    <n v="133.33333333333334"/>
    <n v="800.00000000000011"/>
    <n v="133.33333333333334"/>
    <n v="133.33333333333334"/>
    <n v="133.33333333333334"/>
    <n v="133.33333333333334"/>
    <n v="133.33333333333334"/>
    <n v="133.33333333333334"/>
    <n v="800.00000000000011"/>
  </r>
  <r>
    <x v="0"/>
    <s v="?"/>
    <x v="8"/>
    <s v="PM13"/>
    <s v="Year"/>
    <n v="6"/>
    <n v="41.666666666666664"/>
    <n v="249.99999999999997"/>
    <n v="41.666666666666664"/>
    <n v="41.666666666666664"/>
    <n v="41.666666666666664"/>
    <n v="41.666666666666664"/>
    <n v="41.666666666666664"/>
    <n v="41.666666666666664"/>
    <n v="249.99999999999997"/>
  </r>
  <r>
    <x v="0"/>
    <s v="?"/>
    <x v="8"/>
    <s v="PM14"/>
    <s v="Year"/>
    <n v="6"/>
    <n v="41.666666666666664"/>
    <n v="249.99999999999997"/>
    <n v="41.666666666666664"/>
    <n v="41.666666666666664"/>
    <n v="41.666666666666664"/>
    <n v="41.666666666666664"/>
    <n v="41.666666666666664"/>
    <n v="41.666666666666664"/>
    <n v="249.99999999999997"/>
  </r>
  <r>
    <x v="0"/>
    <s v="?"/>
    <x v="8"/>
    <s v="PM15"/>
    <s v="Year"/>
    <n v="6"/>
    <n v="5.8221075469858787"/>
    <n v="34.932645281915271"/>
    <n v="5.7090399103999996"/>
    <n v="5.7535483893248003"/>
    <n v="5.7985909699966998"/>
    <n v="5.84417406163666"/>
    <n v="5.8903041503763003"/>
    <n v="5.9369878001808098"/>
    <n v="34.932645281915271"/>
  </r>
  <r>
    <x v="0"/>
    <s v="?"/>
    <x v="8"/>
    <s v="PM16"/>
    <s v="Year"/>
    <n v="6"/>
    <n v="2.5480716979905851"/>
    <n v="15.288430187943511"/>
    <n v="2.4726932736000005"/>
    <n v="2.5023655928832005"/>
    <n v="2.5323939799977984"/>
    <n v="2.5627827077577723"/>
    <n v="2.5935361002508648"/>
    <n v="2.6246585334538759"/>
    <n v="15.288430187943511"/>
  </r>
  <r>
    <x v="0"/>
    <s v="?"/>
    <x v="8"/>
    <s v="PM17"/>
    <s v="Year"/>
    <n v="6"/>
    <n v="16.666666666666668"/>
    <n v="100.00000000000001"/>
    <n v="16.666666666666668"/>
    <n v="16.666666666666668"/>
    <n v="16.666666666666668"/>
    <n v="16.666666666666668"/>
    <n v="16.666666666666668"/>
    <n v="16.666666666666668"/>
    <n v="100.00000000000001"/>
  </r>
  <r>
    <x v="1"/>
    <m/>
    <x v="6"/>
    <m/>
    <m/>
    <m/>
    <m/>
    <m/>
    <n v="5437.3641112053338"/>
    <n v="6357.2294995706352"/>
    <n v="6215.9530282322976"/>
    <n v="6309.0805506497263"/>
    <n v="6292.8269555866718"/>
    <n v="5686.6114401356945"/>
    <n v="36299.065585380362"/>
  </r>
  <r>
    <x v="1"/>
    <m/>
    <x v="6"/>
    <m/>
    <m/>
    <m/>
    <m/>
    <m/>
    <n v="26066.62044065279"/>
    <n v="35235.872127373637"/>
    <n v="34867.482179677172"/>
    <n v="31965.064250495718"/>
    <n v="31066.027754036695"/>
    <n v="22159.839398610282"/>
    <n v="181360.90615084631"/>
  </r>
  <r>
    <x v="1"/>
    <m/>
    <x v="6"/>
    <m/>
    <m/>
    <m/>
    <m/>
    <m/>
    <n v="3877.1645418660883"/>
    <n v="12391.835180931199"/>
    <n v="12839.130246626011"/>
    <n v="10866.313870886774"/>
    <n v="8439.0089500375179"/>
    <n v="5447.5497481591328"/>
    <n v="53861.00253850672"/>
  </r>
  <r>
    <x v="1"/>
    <m/>
    <x v="6"/>
    <m/>
    <m/>
    <m/>
    <m/>
    <m/>
    <n v="22189.455898786695"/>
    <n v="22844.036946442433"/>
    <n v="22028.351933051163"/>
    <n v="21098.750379608944"/>
    <n v="22627.018803999177"/>
    <n v="16712.289650451148"/>
    <n v="127499.90361233956"/>
  </r>
  <r>
    <x v="1"/>
    <m/>
    <x v="6"/>
    <m/>
    <m/>
    <m/>
    <m/>
    <m/>
    <m/>
    <m/>
    <m/>
    <m/>
    <m/>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2" cacheId="0"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location ref="A3:B23" firstHeaderRow="1" firstDataRow="1" firstDataCol="1"/>
  <pivotFields count="15">
    <pivotField axis="axisRow" showAll="0">
      <items count="4">
        <item x="2"/>
        <item x="0"/>
        <item x="1"/>
        <item t="default"/>
      </items>
    </pivotField>
    <pivotField showAll="0"/>
    <pivotField axis="axisRow" showAll="0">
      <items count="10">
        <item x="0"/>
        <item x="2"/>
        <item x="5"/>
        <item x="7"/>
        <item x="1"/>
        <item x="8"/>
        <item x="3"/>
        <item x="4"/>
        <item x="6"/>
        <item t="default"/>
      </items>
    </pivotField>
    <pivotField showAll="0"/>
    <pivotField showAll="0"/>
    <pivotField showAll="0"/>
    <pivotField showAll="0"/>
    <pivotField dataField="1" showAll="0"/>
    <pivotField showAll="0"/>
    <pivotField showAll="0"/>
    <pivotField showAll="0"/>
    <pivotField showAll="0"/>
    <pivotField showAll="0"/>
    <pivotField showAll="0"/>
    <pivotField showAll="0"/>
  </pivotFields>
  <rowFields count="2">
    <field x="0"/>
    <field x="2"/>
  </rowFields>
  <rowItems count="20">
    <i>
      <x/>
    </i>
    <i r="1">
      <x v="1"/>
    </i>
    <i r="1">
      <x v="2"/>
    </i>
    <i r="1">
      <x v="4"/>
    </i>
    <i r="1">
      <x v="5"/>
    </i>
    <i>
      <x v="1"/>
    </i>
    <i r="1">
      <x/>
    </i>
    <i r="1">
      <x v="1"/>
    </i>
    <i r="1">
      <x v="2"/>
    </i>
    <i r="1">
      <x v="3"/>
    </i>
    <i r="1">
      <x v="4"/>
    </i>
    <i r="1">
      <x v="5"/>
    </i>
    <i r="1">
      <x v="6"/>
    </i>
    <i r="1">
      <x v="7"/>
    </i>
    <i>
      <x v="2"/>
    </i>
    <i r="1">
      <x v="4"/>
    </i>
    <i r="1">
      <x v="6"/>
    </i>
    <i r="1">
      <x v="7"/>
    </i>
    <i r="1">
      <x v="8"/>
    </i>
    <i t="grand">
      <x/>
    </i>
  </rowItems>
  <colItems count="1">
    <i/>
  </colItems>
  <dataFields count="1">
    <dataField name="Sum of Total Cost (000 USD)" fld="7" baseField="0" baseItem="0" numFmtId="3"/>
  </dataFields>
  <formats count="2">
    <format dxfId="1">
      <pivotArea outline="0" collapsedLevelsAreSubtotals="1" fieldPosition="0"/>
    </format>
    <format dxfId="0">
      <pivotArea dataOnly="0" labelOnly="1" outline="0" axis="axisValues" fieldPosition="0"/>
    </format>
  </formats>
  <pivotTableStyleInfo name="PivotStyleLight16" showRowHeaders="1" showColHeaders="1" showRowStripes="0" showColStripes="0" showLastColumn="1"/>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sheetPr>
    <tabColor rgb="FF92D050"/>
  </sheetPr>
  <dimension ref="A1:Y52"/>
  <sheetViews>
    <sheetView showGridLines="0" zoomScale="70" zoomScaleNormal="70" workbookViewId="0">
      <selection activeCell="M32" sqref="B2:M32"/>
    </sheetView>
  </sheetViews>
  <sheetFormatPr defaultColWidth="8.7109375" defaultRowHeight="12.75"/>
  <cols>
    <col min="1" max="1" width="6.7109375" style="717" bestFit="1" customWidth="1"/>
    <col min="2" max="2" width="38.42578125" style="717" customWidth="1"/>
    <col min="3" max="3" width="13.28515625" style="717" customWidth="1"/>
    <col min="4" max="5" width="13.42578125" style="717" customWidth="1"/>
    <col min="6" max="6" width="13.85546875" style="717" customWidth="1"/>
    <col min="7" max="7" width="13" style="717" customWidth="1"/>
    <col min="8" max="9" width="12.42578125" style="717" customWidth="1"/>
    <col min="10" max="12" width="13.140625" style="717" customWidth="1"/>
    <col min="13" max="13" width="13.85546875" style="717" customWidth="1"/>
    <col min="14" max="22" width="12.140625" style="717" bestFit="1" customWidth="1"/>
    <col min="23" max="23" width="10.85546875" style="717" bestFit="1" customWidth="1"/>
    <col min="24" max="24" width="10.28515625" style="717" customWidth="1"/>
    <col min="25" max="25" width="12" style="717" bestFit="1" customWidth="1"/>
    <col min="26" max="16384" width="8.7109375" style="717"/>
  </cols>
  <sheetData>
    <row r="1" spans="1:25" ht="16.5" thickBot="1">
      <c r="A1" s="729"/>
      <c r="B1" s="782" t="s">
        <v>405</v>
      </c>
      <c r="C1" s="729"/>
      <c r="D1" s="729"/>
      <c r="E1" s="729"/>
      <c r="F1" s="729"/>
      <c r="G1" s="729"/>
      <c r="H1" s="729"/>
      <c r="I1" s="729"/>
      <c r="J1" s="729"/>
      <c r="K1" s="729"/>
      <c r="L1" s="729"/>
      <c r="M1" s="729"/>
      <c r="N1" s="729"/>
      <c r="O1" s="729"/>
      <c r="P1" s="729"/>
      <c r="Q1" s="729"/>
      <c r="R1" s="729"/>
      <c r="S1" s="729"/>
      <c r="T1" s="729"/>
      <c r="U1" s="729"/>
      <c r="V1" s="729"/>
      <c r="W1" s="729"/>
      <c r="X1" s="729"/>
    </row>
    <row r="2" spans="1:25" s="777" customFormat="1" ht="15.75">
      <c r="A2" s="778"/>
      <c r="B2" s="781" t="s">
        <v>302</v>
      </c>
      <c r="C2" s="780">
        <v>1</v>
      </c>
      <c r="D2" s="780">
        <v>2</v>
      </c>
      <c r="E2" s="780">
        <v>3</v>
      </c>
      <c r="F2" s="780">
        <v>4</v>
      </c>
      <c r="G2" s="780">
        <v>5</v>
      </c>
      <c r="H2" s="780">
        <v>6</v>
      </c>
      <c r="I2" s="780">
        <v>7</v>
      </c>
      <c r="J2" s="780">
        <v>8</v>
      </c>
      <c r="K2" s="780">
        <v>9</v>
      </c>
      <c r="L2" s="780">
        <v>10</v>
      </c>
      <c r="M2" s="779" t="s">
        <v>408</v>
      </c>
      <c r="N2" s="780">
        <v>12</v>
      </c>
      <c r="O2" s="780">
        <v>13</v>
      </c>
      <c r="P2" s="780">
        <v>14</v>
      </c>
      <c r="Q2" s="780">
        <v>15</v>
      </c>
      <c r="R2" s="780">
        <v>16</v>
      </c>
      <c r="S2" s="780">
        <v>17</v>
      </c>
      <c r="T2" s="780">
        <v>18</v>
      </c>
      <c r="U2" s="780">
        <v>19</v>
      </c>
      <c r="V2" s="779">
        <v>20</v>
      </c>
      <c r="W2" s="778"/>
      <c r="X2" s="778"/>
    </row>
    <row r="3" spans="1:25" ht="15.75">
      <c r="A3" s="729"/>
      <c r="B3" s="776"/>
      <c r="C3" s="775"/>
      <c r="D3" s="775"/>
      <c r="E3" s="775"/>
      <c r="F3" s="775"/>
      <c r="G3" s="775"/>
      <c r="H3" s="775"/>
      <c r="I3" s="775"/>
      <c r="J3" s="775"/>
      <c r="K3" s="775"/>
      <c r="L3" s="775"/>
      <c r="M3" s="774"/>
      <c r="N3" s="764"/>
      <c r="O3" s="764"/>
      <c r="P3" s="764"/>
      <c r="Q3" s="764"/>
      <c r="R3" s="764"/>
      <c r="S3" s="764"/>
      <c r="T3" s="764"/>
      <c r="U3" s="764"/>
      <c r="V3" s="774"/>
      <c r="W3" s="763"/>
      <c r="X3" s="762"/>
    </row>
    <row r="4" spans="1:25" ht="15.75">
      <c r="A4" s="729"/>
      <c r="B4" s="773" t="s">
        <v>404</v>
      </c>
      <c r="C4" s="5">
        <f>'Overall Economic Benefits'!C15</f>
        <v>-19733.488245149358</v>
      </c>
      <c r="D4" s="5">
        <f>'Overall Economic Benefits'!D15</f>
        <v>-17871.026195923558</v>
      </c>
      <c r="E4" s="5">
        <f>'Overall Economic Benefits'!E15</f>
        <v>-7407.7815252399105</v>
      </c>
      <c r="F4" s="5">
        <f>'Overall Economic Benefits'!F15</f>
        <v>31477.799489631172</v>
      </c>
      <c r="G4" s="5">
        <f>'Overall Economic Benefits'!G15</f>
        <v>41712.75248161023</v>
      </c>
      <c r="H4" s="5">
        <f>'Overall Economic Benefits'!H15</f>
        <v>46672.811227014114</v>
      </c>
      <c r="I4" s="5">
        <f>'Overall Economic Benefits'!I15</f>
        <v>46956.777893680774</v>
      </c>
      <c r="J4" s="5">
        <f>'Overall Economic Benefits'!J15</f>
        <v>46956.777893680774</v>
      </c>
      <c r="K4" s="5">
        <f>'Overall Economic Benefits'!K15</f>
        <v>46956.777893680774</v>
      </c>
      <c r="L4" s="5">
        <f>'Overall Economic Benefits'!L15</f>
        <v>46956.777893680774</v>
      </c>
      <c r="M4" s="10">
        <f>'Overall Economic Benefits'!M15</f>
        <v>46956.777893680774</v>
      </c>
      <c r="N4" s="5">
        <f>'Overall Economic Benefits'!N15</f>
        <v>46956.777893680774</v>
      </c>
      <c r="O4" s="5">
        <f>'Overall Economic Benefits'!O15</f>
        <v>46956.777893680774</v>
      </c>
      <c r="P4" s="5">
        <f>'Overall Economic Benefits'!P15</f>
        <v>46956.777893680774</v>
      </c>
      <c r="Q4" s="5">
        <f>'Overall Economic Benefits'!Q15</f>
        <v>46956.777893680774</v>
      </c>
      <c r="R4" s="5">
        <f>'Overall Economic Benefits'!R15</f>
        <v>46956.777893680774</v>
      </c>
      <c r="S4" s="5">
        <f>'Overall Economic Benefits'!S15</f>
        <v>46956.777893680774</v>
      </c>
      <c r="T4" s="5">
        <f>'Overall Economic Benefits'!T15</f>
        <v>46956.777893680774</v>
      </c>
      <c r="U4" s="5">
        <f>'Overall Economic Benefits'!U15</f>
        <v>46956.777893680774</v>
      </c>
      <c r="V4" s="10">
        <f>'Overall Economic Benefits'!V15</f>
        <v>46956.777893680774</v>
      </c>
      <c r="W4" s="763"/>
      <c r="X4" s="762"/>
    </row>
    <row r="5" spans="1:25" ht="15.75">
      <c r="A5" s="729"/>
      <c r="B5" s="770" t="s">
        <v>394</v>
      </c>
      <c r="C5" s="5">
        <f t="shared" ref="C5:V5" si="0">C4*1.1</f>
        <v>-21706.837069664296</v>
      </c>
      <c r="D5" s="5">
        <f t="shared" si="0"/>
        <v>-19658.128815515916</v>
      </c>
      <c r="E5" s="5">
        <f t="shared" si="0"/>
        <v>-8148.5596777639021</v>
      </c>
      <c r="F5" s="5">
        <f t="shared" si="0"/>
        <v>34625.579438594294</v>
      </c>
      <c r="G5" s="5">
        <f t="shared" si="0"/>
        <v>45884.02772977126</v>
      </c>
      <c r="H5" s="5">
        <f t="shared" si="0"/>
        <v>51340.092349715531</v>
      </c>
      <c r="I5" s="5">
        <f t="shared" si="0"/>
        <v>51652.455683048858</v>
      </c>
      <c r="J5" s="5">
        <f t="shared" si="0"/>
        <v>51652.455683048858</v>
      </c>
      <c r="K5" s="5">
        <f t="shared" si="0"/>
        <v>51652.455683048858</v>
      </c>
      <c r="L5" s="5">
        <f t="shared" si="0"/>
        <v>51652.455683048858</v>
      </c>
      <c r="M5" s="10">
        <f t="shared" si="0"/>
        <v>51652.455683048858</v>
      </c>
      <c r="N5" s="5">
        <f t="shared" si="0"/>
        <v>51652.455683048858</v>
      </c>
      <c r="O5" s="5">
        <f t="shared" si="0"/>
        <v>51652.455683048858</v>
      </c>
      <c r="P5" s="5">
        <f t="shared" si="0"/>
        <v>51652.455683048858</v>
      </c>
      <c r="Q5" s="5">
        <f t="shared" si="0"/>
        <v>51652.455683048858</v>
      </c>
      <c r="R5" s="5">
        <f t="shared" si="0"/>
        <v>51652.455683048858</v>
      </c>
      <c r="S5" s="5">
        <f t="shared" si="0"/>
        <v>51652.455683048858</v>
      </c>
      <c r="T5" s="5">
        <f t="shared" si="0"/>
        <v>51652.455683048858</v>
      </c>
      <c r="U5" s="5">
        <f t="shared" si="0"/>
        <v>51652.455683048858</v>
      </c>
      <c r="V5" s="10">
        <f t="shared" si="0"/>
        <v>51652.455683048858</v>
      </c>
      <c r="W5" s="763"/>
      <c r="X5" s="762"/>
    </row>
    <row r="6" spans="1:25" ht="15.75">
      <c r="A6" s="729"/>
      <c r="B6" s="770" t="s">
        <v>393</v>
      </c>
      <c r="C6" s="5">
        <f t="shared" ref="C6:V6" si="1">C4*1.2</f>
        <v>-23680.185894179227</v>
      </c>
      <c r="D6" s="5">
        <f t="shared" si="1"/>
        <v>-21445.231435108268</v>
      </c>
      <c r="E6" s="5">
        <f t="shared" si="1"/>
        <v>-8889.3378302878918</v>
      </c>
      <c r="F6" s="5">
        <f t="shared" si="1"/>
        <v>37773.359387557408</v>
      </c>
      <c r="G6" s="5">
        <f t="shared" si="1"/>
        <v>50055.302977932275</v>
      </c>
      <c r="H6" s="5">
        <f t="shared" si="1"/>
        <v>56007.373472416934</v>
      </c>
      <c r="I6" s="5">
        <f t="shared" si="1"/>
        <v>56348.133472416928</v>
      </c>
      <c r="J6" s="5">
        <f t="shared" si="1"/>
        <v>56348.133472416928</v>
      </c>
      <c r="K6" s="5">
        <f t="shared" si="1"/>
        <v>56348.133472416928</v>
      </c>
      <c r="L6" s="5">
        <f t="shared" si="1"/>
        <v>56348.133472416928</v>
      </c>
      <c r="M6" s="10">
        <f t="shared" si="1"/>
        <v>56348.133472416928</v>
      </c>
      <c r="N6" s="5">
        <f t="shared" si="1"/>
        <v>56348.133472416928</v>
      </c>
      <c r="O6" s="5">
        <f t="shared" si="1"/>
        <v>56348.133472416928</v>
      </c>
      <c r="P6" s="5">
        <f t="shared" si="1"/>
        <v>56348.133472416928</v>
      </c>
      <c r="Q6" s="5">
        <f t="shared" si="1"/>
        <v>56348.133472416928</v>
      </c>
      <c r="R6" s="5">
        <f t="shared" si="1"/>
        <v>56348.133472416928</v>
      </c>
      <c r="S6" s="5">
        <f t="shared" si="1"/>
        <v>56348.133472416928</v>
      </c>
      <c r="T6" s="5">
        <f t="shared" si="1"/>
        <v>56348.133472416928</v>
      </c>
      <c r="U6" s="5">
        <f t="shared" si="1"/>
        <v>56348.133472416928</v>
      </c>
      <c r="V6" s="10">
        <f t="shared" si="1"/>
        <v>56348.133472416928</v>
      </c>
      <c r="W6" s="763"/>
      <c r="X6" s="762"/>
    </row>
    <row r="7" spans="1:25" ht="15.75">
      <c r="A7" s="729"/>
      <c r="B7" s="770" t="s">
        <v>403</v>
      </c>
      <c r="C7" s="5">
        <f t="shared" ref="C7:V7" si="2">C4*$D$45</f>
        <v>-17760.139420634423</v>
      </c>
      <c r="D7" s="5">
        <f t="shared" si="2"/>
        <v>-16083.923576331203</v>
      </c>
      <c r="E7" s="5">
        <f t="shared" si="2"/>
        <v>-6667.0033727159198</v>
      </c>
      <c r="F7" s="5">
        <f t="shared" si="2"/>
        <v>28330.019540668054</v>
      </c>
      <c r="G7" s="5">
        <f t="shared" si="2"/>
        <v>37541.477233449208</v>
      </c>
      <c r="H7" s="5">
        <f t="shared" si="2"/>
        <v>42005.530104312704</v>
      </c>
      <c r="I7" s="5">
        <f t="shared" si="2"/>
        <v>42261.100104312696</v>
      </c>
      <c r="J7" s="5">
        <f t="shared" si="2"/>
        <v>42261.100104312696</v>
      </c>
      <c r="K7" s="5">
        <f t="shared" si="2"/>
        <v>42261.100104312696</v>
      </c>
      <c r="L7" s="5">
        <f t="shared" si="2"/>
        <v>42261.100104312696</v>
      </c>
      <c r="M7" s="10">
        <f t="shared" si="2"/>
        <v>42261.100104312696</v>
      </c>
      <c r="N7" s="5">
        <f t="shared" si="2"/>
        <v>42261.100104312696</v>
      </c>
      <c r="O7" s="5">
        <f t="shared" si="2"/>
        <v>42261.100104312696</v>
      </c>
      <c r="P7" s="5">
        <f t="shared" si="2"/>
        <v>42261.100104312696</v>
      </c>
      <c r="Q7" s="5">
        <f t="shared" si="2"/>
        <v>42261.100104312696</v>
      </c>
      <c r="R7" s="5">
        <f t="shared" si="2"/>
        <v>42261.100104312696</v>
      </c>
      <c r="S7" s="5">
        <f t="shared" si="2"/>
        <v>42261.100104312696</v>
      </c>
      <c r="T7" s="5">
        <f t="shared" si="2"/>
        <v>42261.100104312696</v>
      </c>
      <c r="U7" s="5">
        <f t="shared" si="2"/>
        <v>42261.100104312696</v>
      </c>
      <c r="V7" s="10">
        <f t="shared" si="2"/>
        <v>42261.100104312696</v>
      </c>
      <c r="W7" s="763"/>
      <c r="X7" s="762"/>
    </row>
    <row r="8" spans="1:25" ht="15.75">
      <c r="A8" s="729"/>
      <c r="B8" s="770" t="s">
        <v>402</v>
      </c>
      <c r="C8" s="5">
        <f t="shared" ref="C8:V8" si="3">C4*$D$46</f>
        <v>-15786.790596119487</v>
      </c>
      <c r="D8" s="5">
        <f t="shared" si="3"/>
        <v>-14296.820956738848</v>
      </c>
      <c r="E8" s="5">
        <f t="shared" si="3"/>
        <v>-5926.2252201919291</v>
      </c>
      <c r="F8" s="5">
        <f t="shared" si="3"/>
        <v>25182.23959170494</v>
      </c>
      <c r="G8" s="5">
        <f t="shared" si="3"/>
        <v>33370.201985288186</v>
      </c>
      <c r="H8" s="5">
        <f t="shared" si="3"/>
        <v>37338.248981611294</v>
      </c>
      <c r="I8" s="5">
        <f t="shared" si="3"/>
        <v>37565.422314944619</v>
      </c>
      <c r="J8" s="5">
        <f t="shared" si="3"/>
        <v>37565.422314944619</v>
      </c>
      <c r="K8" s="5">
        <f t="shared" si="3"/>
        <v>37565.422314944619</v>
      </c>
      <c r="L8" s="5">
        <f t="shared" si="3"/>
        <v>37565.422314944619</v>
      </c>
      <c r="M8" s="10">
        <f t="shared" si="3"/>
        <v>37565.422314944619</v>
      </c>
      <c r="N8" s="5">
        <f t="shared" si="3"/>
        <v>37565.422314944619</v>
      </c>
      <c r="O8" s="5">
        <f t="shared" si="3"/>
        <v>37565.422314944619</v>
      </c>
      <c r="P8" s="5">
        <f t="shared" si="3"/>
        <v>37565.422314944619</v>
      </c>
      <c r="Q8" s="5">
        <f t="shared" si="3"/>
        <v>37565.422314944619</v>
      </c>
      <c r="R8" s="5">
        <f t="shared" si="3"/>
        <v>37565.422314944619</v>
      </c>
      <c r="S8" s="5">
        <f t="shared" si="3"/>
        <v>37565.422314944619</v>
      </c>
      <c r="T8" s="5">
        <f t="shared" si="3"/>
        <v>37565.422314944619</v>
      </c>
      <c r="U8" s="5">
        <f t="shared" si="3"/>
        <v>37565.422314944619</v>
      </c>
      <c r="V8" s="10">
        <f t="shared" si="3"/>
        <v>37565.422314944619</v>
      </c>
      <c r="W8" s="763"/>
      <c r="X8" s="762"/>
    </row>
    <row r="9" spans="1:25" ht="15.75">
      <c r="A9" s="729"/>
      <c r="B9" s="770" t="s">
        <v>401</v>
      </c>
      <c r="C9" s="5">
        <f t="shared" ref="C9:V9" si="4">C4*$D$47</f>
        <v>-13813.44177160455</v>
      </c>
      <c r="D9" s="5">
        <f t="shared" si="4"/>
        <v>-12509.718337146489</v>
      </c>
      <c r="E9" s="5">
        <f t="shared" si="4"/>
        <v>-5185.4470676679366</v>
      </c>
      <c r="F9" s="5">
        <f t="shared" si="4"/>
        <v>22034.459642741818</v>
      </c>
      <c r="G9" s="5">
        <f t="shared" si="4"/>
        <v>29198.92673712716</v>
      </c>
      <c r="H9" s="5">
        <f t="shared" si="4"/>
        <v>32670.967858909877</v>
      </c>
      <c r="I9" s="5">
        <f t="shared" si="4"/>
        <v>32869.744525576541</v>
      </c>
      <c r="J9" s="5">
        <f t="shared" si="4"/>
        <v>32869.744525576541</v>
      </c>
      <c r="K9" s="5">
        <f t="shared" si="4"/>
        <v>32869.744525576541</v>
      </c>
      <c r="L9" s="5">
        <f t="shared" si="4"/>
        <v>32869.744525576541</v>
      </c>
      <c r="M9" s="10">
        <f t="shared" si="4"/>
        <v>32869.744525576541</v>
      </c>
      <c r="N9" s="5">
        <f t="shared" si="4"/>
        <v>32869.744525576541</v>
      </c>
      <c r="O9" s="5">
        <f t="shared" si="4"/>
        <v>32869.744525576541</v>
      </c>
      <c r="P9" s="5">
        <f t="shared" si="4"/>
        <v>32869.744525576541</v>
      </c>
      <c r="Q9" s="5">
        <f t="shared" si="4"/>
        <v>32869.744525576541</v>
      </c>
      <c r="R9" s="5">
        <f t="shared" si="4"/>
        <v>32869.744525576541</v>
      </c>
      <c r="S9" s="5">
        <f t="shared" si="4"/>
        <v>32869.744525576541</v>
      </c>
      <c r="T9" s="5">
        <f t="shared" si="4"/>
        <v>32869.744525576541</v>
      </c>
      <c r="U9" s="5">
        <f t="shared" si="4"/>
        <v>32869.744525576541</v>
      </c>
      <c r="V9" s="10">
        <f t="shared" si="4"/>
        <v>32869.744525576541</v>
      </c>
      <c r="W9" s="763"/>
      <c r="X9" s="762"/>
    </row>
    <row r="10" spans="1:25" ht="15.75">
      <c r="A10" s="729"/>
      <c r="B10" s="770"/>
      <c r="C10" s="5"/>
      <c r="D10" s="5"/>
      <c r="E10" s="5"/>
      <c r="F10" s="5"/>
      <c r="G10" s="5"/>
      <c r="H10" s="5"/>
      <c r="I10" s="5"/>
      <c r="J10" s="5"/>
      <c r="K10" s="5"/>
      <c r="L10" s="5"/>
      <c r="M10" s="10"/>
      <c r="N10" s="5"/>
      <c r="O10" s="5"/>
      <c r="P10" s="5"/>
      <c r="Q10" s="5"/>
      <c r="R10" s="5"/>
      <c r="S10" s="5"/>
      <c r="T10" s="5"/>
      <c r="U10" s="5"/>
      <c r="V10" s="10"/>
      <c r="W10" s="763"/>
      <c r="X10" s="762"/>
    </row>
    <row r="11" spans="1:25" ht="15.75">
      <c r="A11" s="729"/>
      <c r="B11" s="773" t="s">
        <v>355</v>
      </c>
      <c r="C11" s="5">
        <f>'Overall Economic Benefits'!C22</f>
        <v>16682.82701840283</v>
      </c>
      <c r="D11" s="5">
        <f>'Overall Economic Benefits'!D22</f>
        <v>20960.852174152613</v>
      </c>
      <c r="E11" s="5">
        <f>'Overall Economic Benefits'!E22</f>
        <v>20880.262759047117</v>
      </c>
      <c r="F11" s="5">
        <f>'Overall Economic Benefits'!F22</f>
        <v>19654.811379178995</v>
      </c>
      <c r="G11" s="5">
        <f>'Overall Economic Benefits'!G22</f>
        <v>19358.891179091013</v>
      </c>
      <c r="H11" s="5">
        <f>'Overall Economic Benefits'!H22</f>
        <v>17885.135257222897</v>
      </c>
      <c r="I11" s="5">
        <f>'Overall Economic Benefits'!I22</f>
        <v>894.25676286114492</v>
      </c>
      <c r="J11" s="5">
        <f>'Overall Economic Benefits'!J22</f>
        <v>894.25676286114492</v>
      </c>
      <c r="K11" s="5">
        <f>'Overall Economic Benefits'!K22</f>
        <v>894.25676286114492</v>
      </c>
      <c r="L11" s="5">
        <f>'Overall Economic Benefits'!L22</f>
        <v>894.25676286114492</v>
      </c>
      <c r="M11" s="10">
        <f>'Overall Economic Benefits'!M22</f>
        <v>894.25676286114492</v>
      </c>
      <c r="N11" s="5">
        <f>'Overall Economic Benefits'!N22</f>
        <v>894.25676286114492</v>
      </c>
      <c r="O11" s="5">
        <f>'Overall Economic Benefits'!O22</f>
        <v>894.25676286114492</v>
      </c>
      <c r="P11" s="5">
        <f>'Overall Economic Benefits'!P22</f>
        <v>894.25676286114492</v>
      </c>
      <c r="Q11" s="5">
        <f>'Overall Economic Benefits'!Q22</f>
        <v>894.25676286114492</v>
      </c>
      <c r="R11" s="5">
        <f>'Overall Economic Benefits'!R22</f>
        <v>894.25676286114492</v>
      </c>
      <c r="S11" s="5">
        <f>'Overall Economic Benefits'!S22</f>
        <v>894.25676286114492</v>
      </c>
      <c r="T11" s="5">
        <f>'Overall Economic Benefits'!T22</f>
        <v>894.25676286114492</v>
      </c>
      <c r="U11" s="5">
        <f>'Overall Economic Benefits'!U22</f>
        <v>894.25676286114492</v>
      </c>
      <c r="V11" s="10">
        <f>'Overall Economic Benefits'!V22</f>
        <v>894.25676286114492</v>
      </c>
      <c r="W11" s="763"/>
      <c r="X11" s="762"/>
    </row>
    <row r="12" spans="1:25" ht="15.75">
      <c r="A12" s="729"/>
      <c r="B12" s="770" t="s">
        <v>397</v>
      </c>
      <c r="C12" s="5">
        <f t="shared" ref="C12:V12" si="5">C11*1.1</f>
        <v>18351.109720243116</v>
      </c>
      <c r="D12" s="5">
        <f t="shared" si="5"/>
        <v>23056.937391567877</v>
      </c>
      <c r="E12" s="5">
        <f t="shared" si="5"/>
        <v>22968.289034951831</v>
      </c>
      <c r="F12" s="5">
        <f t="shared" si="5"/>
        <v>21620.292517096896</v>
      </c>
      <c r="G12" s="5">
        <f t="shared" si="5"/>
        <v>21294.780297000118</v>
      </c>
      <c r="H12" s="5">
        <f t="shared" si="5"/>
        <v>19673.648782945187</v>
      </c>
      <c r="I12" s="5">
        <f t="shared" si="5"/>
        <v>983.68243914725952</v>
      </c>
      <c r="J12" s="5">
        <f t="shared" si="5"/>
        <v>983.68243914725952</v>
      </c>
      <c r="K12" s="5">
        <f t="shared" si="5"/>
        <v>983.68243914725952</v>
      </c>
      <c r="L12" s="5">
        <f t="shared" si="5"/>
        <v>983.68243914725952</v>
      </c>
      <c r="M12" s="10">
        <f t="shared" si="5"/>
        <v>983.68243914725952</v>
      </c>
      <c r="N12" s="5">
        <f t="shared" si="5"/>
        <v>983.68243914725952</v>
      </c>
      <c r="O12" s="5">
        <f t="shared" si="5"/>
        <v>983.68243914725952</v>
      </c>
      <c r="P12" s="5">
        <f t="shared" si="5"/>
        <v>983.68243914725952</v>
      </c>
      <c r="Q12" s="5">
        <f t="shared" si="5"/>
        <v>983.68243914725952</v>
      </c>
      <c r="R12" s="5">
        <f t="shared" si="5"/>
        <v>983.68243914725952</v>
      </c>
      <c r="S12" s="5">
        <f t="shared" si="5"/>
        <v>983.68243914725952</v>
      </c>
      <c r="T12" s="5">
        <f t="shared" si="5"/>
        <v>983.68243914725952</v>
      </c>
      <c r="U12" s="5">
        <f t="shared" si="5"/>
        <v>983.68243914725952</v>
      </c>
      <c r="V12" s="10">
        <f t="shared" si="5"/>
        <v>983.68243914725952</v>
      </c>
      <c r="W12" s="763"/>
      <c r="X12" s="762"/>
    </row>
    <row r="13" spans="1:25" ht="15.75">
      <c r="A13" s="729"/>
      <c r="B13" s="770" t="s">
        <v>396</v>
      </c>
      <c r="C13" s="5">
        <f t="shared" ref="C13:V13" si="6">C11*1.2</f>
        <v>20019.392422083394</v>
      </c>
      <c r="D13" s="5">
        <f t="shared" si="6"/>
        <v>25153.022608983134</v>
      </c>
      <c r="E13" s="5">
        <f t="shared" si="6"/>
        <v>25056.315310856538</v>
      </c>
      <c r="F13" s="5">
        <f t="shared" si="6"/>
        <v>23585.773655014793</v>
      </c>
      <c r="G13" s="5">
        <f t="shared" si="6"/>
        <v>23230.669414909215</v>
      </c>
      <c r="H13" s="5">
        <f t="shared" si="6"/>
        <v>21462.162308667477</v>
      </c>
      <c r="I13" s="5">
        <f t="shared" si="6"/>
        <v>1073.1081154333738</v>
      </c>
      <c r="J13" s="5">
        <f t="shared" si="6"/>
        <v>1073.1081154333738</v>
      </c>
      <c r="K13" s="5">
        <f t="shared" si="6"/>
        <v>1073.1081154333738</v>
      </c>
      <c r="L13" s="5">
        <f t="shared" si="6"/>
        <v>1073.1081154333738</v>
      </c>
      <c r="M13" s="10">
        <f t="shared" si="6"/>
        <v>1073.1081154333738</v>
      </c>
      <c r="N13" s="5">
        <f t="shared" si="6"/>
        <v>1073.1081154333738</v>
      </c>
      <c r="O13" s="5">
        <f t="shared" si="6"/>
        <v>1073.1081154333738</v>
      </c>
      <c r="P13" s="5">
        <f t="shared" si="6"/>
        <v>1073.1081154333738</v>
      </c>
      <c r="Q13" s="5">
        <f t="shared" si="6"/>
        <v>1073.1081154333738</v>
      </c>
      <c r="R13" s="5">
        <f t="shared" si="6"/>
        <v>1073.1081154333738</v>
      </c>
      <c r="S13" s="5">
        <f t="shared" si="6"/>
        <v>1073.1081154333738</v>
      </c>
      <c r="T13" s="5">
        <f t="shared" si="6"/>
        <v>1073.1081154333738</v>
      </c>
      <c r="U13" s="5">
        <f t="shared" si="6"/>
        <v>1073.1081154333738</v>
      </c>
      <c r="V13" s="10">
        <f t="shared" si="6"/>
        <v>1073.1081154333738</v>
      </c>
      <c r="W13" s="763"/>
      <c r="X13" s="762"/>
    </row>
    <row r="14" spans="1:25" ht="15.75">
      <c r="A14" s="729"/>
      <c r="B14" s="770" t="s">
        <v>395</v>
      </c>
      <c r="C14" s="5">
        <f>C11*1.5</f>
        <v>25024.240527604245</v>
      </c>
      <c r="D14" s="5">
        <f>D11*1.5</f>
        <v>31441.278261228919</v>
      </c>
      <c r="E14" s="5">
        <f>E11*1.5</f>
        <v>31320.394138570675</v>
      </c>
      <c r="F14" s="5">
        <f>F11*1.5</f>
        <v>29482.217068768492</v>
      </c>
      <c r="G14" s="5">
        <f>G11*1.5</f>
        <v>29038.33676863652</v>
      </c>
      <c r="H14" s="5">
        <f t="shared" ref="H14:V14" si="7">H11*1.3</f>
        <v>23250.675834389767</v>
      </c>
      <c r="I14" s="5">
        <f t="shared" si="7"/>
        <v>1162.5337917194884</v>
      </c>
      <c r="J14" s="5">
        <f t="shared" si="7"/>
        <v>1162.5337917194884</v>
      </c>
      <c r="K14" s="5">
        <f t="shared" si="7"/>
        <v>1162.5337917194884</v>
      </c>
      <c r="L14" s="5">
        <f t="shared" si="7"/>
        <v>1162.5337917194884</v>
      </c>
      <c r="M14" s="10">
        <f t="shared" si="7"/>
        <v>1162.5337917194884</v>
      </c>
      <c r="N14" s="5">
        <f t="shared" si="7"/>
        <v>1162.5337917194884</v>
      </c>
      <c r="O14" s="5">
        <f t="shared" si="7"/>
        <v>1162.5337917194884</v>
      </c>
      <c r="P14" s="5">
        <f t="shared" si="7"/>
        <v>1162.5337917194884</v>
      </c>
      <c r="Q14" s="5">
        <f t="shared" si="7"/>
        <v>1162.5337917194884</v>
      </c>
      <c r="R14" s="5">
        <f t="shared" si="7"/>
        <v>1162.5337917194884</v>
      </c>
      <c r="S14" s="5">
        <f t="shared" si="7"/>
        <v>1162.5337917194884</v>
      </c>
      <c r="T14" s="5">
        <f t="shared" si="7"/>
        <v>1162.5337917194884</v>
      </c>
      <c r="U14" s="5">
        <f t="shared" si="7"/>
        <v>1162.5337917194884</v>
      </c>
      <c r="V14" s="10">
        <f t="shared" si="7"/>
        <v>1162.5337917194884</v>
      </c>
      <c r="W14" s="763"/>
      <c r="X14" s="762"/>
    </row>
    <row r="15" spans="1:25" ht="15.75">
      <c r="A15" s="729"/>
      <c r="B15" s="770"/>
      <c r="C15" s="5"/>
      <c r="D15" s="5"/>
      <c r="E15" s="5"/>
      <c r="F15" s="5"/>
      <c r="G15" s="5"/>
      <c r="H15" s="5"/>
      <c r="I15" s="5"/>
      <c r="J15" s="5"/>
      <c r="K15" s="5"/>
      <c r="L15" s="5"/>
      <c r="M15" s="10"/>
      <c r="N15" s="5"/>
      <c r="O15" s="5"/>
      <c r="P15" s="5"/>
      <c r="Q15" s="5"/>
      <c r="R15" s="5"/>
      <c r="S15" s="5"/>
      <c r="T15" s="5"/>
      <c r="U15" s="5"/>
      <c r="V15" s="10"/>
      <c r="W15" s="763"/>
      <c r="X15" s="762"/>
    </row>
    <row r="16" spans="1:25" ht="15.75">
      <c r="A16" s="729"/>
      <c r="B16" s="773" t="s">
        <v>400</v>
      </c>
      <c r="C16" s="5"/>
      <c r="D16" s="5"/>
      <c r="E16" s="5"/>
      <c r="F16" s="5"/>
      <c r="G16" s="5"/>
      <c r="H16" s="5"/>
      <c r="I16" s="5"/>
      <c r="J16" s="5"/>
      <c r="K16" s="5"/>
      <c r="L16" s="5"/>
      <c r="M16" s="10"/>
      <c r="N16" s="5"/>
      <c r="O16" s="5"/>
      <c r="P16" s="5"/>
      <c r="Q16" s="5"/>
      <c r="R16" s="5"/>
      <c r="S16" s="5"/>
      <c r="T16" s="5"/>
      <c r="U16" s="5"/>
      <c r="V16" s="10"/>
      <c r="W16" s="763"/>
      <c r="X16" s="772" t="s">
        <v>399</v>
      </c>
      <c r="Y16" s="771"/>
    </row>
    <row r="17" spans="1:25" ht="15.75">
      <c r="A17" s="729"/>
      <c r="B17" s="770" t="s">
        <v>398</v>
      </c>
      <c r="C17" s="5">
        <f t="shared" ref="C17:V17" si="8">C4-C11</f>
        <v>-36416.315263552184</v>
      </c>
      <c r="D17" s="5">
        <f t="shared" si="8"/>
        <v>-38831.878370076171</v>
      </c>
      <c r="E17" s="5">
        <f t="shared" si="8"/>
        <v>-28288.044284287025</v>
      </c>
      <c r="F17" s="5">
        <f t="shared" si="8"/>
        <v>11822.988110452177</v>
      </c>
      <c r="G17" s="5">
        <f t="shared" si="8"/>
        <v>22353.861302519217</v>
      </c>
      <c r="H17" s="5">
        <f t="shared" si="8"/>
        <v>28787.675969791217</v>
      </c>
      <c r="I17" s="5">
        <f t="shared" si="8"/>
        <v>46062.52113081963</v>
      </c>
      <c r="J17" s="5">
        <f t="shared" si="8"/>
        <v>46062.52113081963</v>
      </c>
      <c r="K17" s="5">
        <f t="shared" si="8"/>
        <v>46062.52113081963</v>
      </c>
      <c r="L17" s="5">
        <f t="shared" si="8"/>
        <v>46062.52113081963</v>
      </c>
      <c r="M17" s="10">
        <f t="shared" si="8"/>
        <v>46062.52113081963</v>
      </c>
      <c r="N17" s="5">
        <f t="shared" si="8"/>
        <v>46062.52113081963</v>
      </c>
      <c r="O17" s="5">
        <f t="shared" si="8"/>
        <v>46062.52113081963</v>
      </c>
      <c r="P17" s="5">
        <f t="shared" si="8"/>
        <v>46062.52113081963</v>
      </c>
      <c r="Q17" s="5">
        <f t="shared" si="8"/>
        <v>46062.52113081963</v>
      </c>
      <c r="R17" s="5">
        <f t="shared" si="8"/>
        <v>46062.52113081963</v>
      </c>
      <c r="S17" s="5">
        <f t="shared" si="8"/>
        <v>46062.52113081963</v>
      </c>
      <c r="T17" s="5">
        <f t="shared" si="8"/>
        <v>46062.52113081963</v>
      </c>
      <c r="U17" s="5">
        <f t="shared" si="8"/>
        <v>46062.52113081963</v>
      </c>
      <c r="V17" s="10">
        <f t="shared" si="8"/>
        <v>46062.52113081963</v>
      </c>
      <c r="W17" s="763">
        <f t="shared" ref="W17:W27" si="9">IRR(C17:V17)</f>
        <v>0.24320452344169657</v>
      </c>
      <c r="X17" s="768">
        <f t="shared" ref="X17:X27" si="10">NPV($C$28,C17:V17)</f>
        <v>255525.89258282704</v>
      </c>
      <c r="Y17" s="767"/>
    </row>
    <row r="18" spans="1:25" ht="15.75">
      <c r="A18" s="729"/>
      <c r="B18" s="770" t="s">
        <v>397</v>
      </c>
      <c r="C18" s="5">
        <f t="shared" ref="C18:V18" si="11">C4-C12</f>
        <v>-38084.597965392473</v>
      </c>
      <c r="D18" s="5">
        <f t="shared" si="11"/>
        <v>-40927.963587491438</v>
      </c>
      <c r="E18" s="5">
        <f t="shared" si="11"/>
        <v>-30376.070560191743</v>
      </c>
      <c r="F18" s="5">
        <f t="shared" si="11"/>
        <v>9857.5069725342764</v>
      </c>
      <c r="G18" s="5">
        <f t="shared" si="11"/>
        <v>20417.972184610113</v>
      </c>
      <c r="H18" s="5">
        <f t="shared" si="11"/>
        <v>26999.162444068927</v>
      </c>
      <c r="I18" s="5">
        <f t="shared" si="11"/>
        <v>45973.095454533512</v>
      </c>
      <c r="J18" s="5">
        <f t="shared" si="11"/>
        <v>45973.095454533512</v>
      </c>
      <c r="K18" s="5">
        <f t="shared" si="11"/>
        <v>45973.095454533512</v>
      </c>
      <c r="L18" s="5">
        <f t="shared" si="11"/>
        <v>45973.095454533512</v>
      </c>
      <c r="M18" s="10">
        <f t="shared" si="11"/>
        <v>45973.095454533512</v>
      </c>
      <c r="N18" s="5">
        <f t="shared" si="11"/>
        <v>45973.095454533512</v>
      </c>
      <c r="O18" s="5">
        <f t="shared" si="11"/>
        <v>45973.095454533512</v>
      </c>
      <c r="P18" s="5">
        <f t="shared" si="11"/>
        <v>45973.095454533512</v>
      </c>
      <c r="Q18" s="5">
        <f t="shared" si="11"/>
        <v>45973.095454533512</v>
      </c>
      <c r="R18" s="5">
        <f t="shared" si="11"/>
        <v>45973.095454533512</v>
      </c>
      <c r="S18" s="5">
        <f t="shared" si="11"/>
        <v>45973.095454533512</v>
      </c>
      <c r="T18" s="5">
        <f t="shared" si="11"/>
        <v>45973.095454533512</v>
      </c>
      <c r="U18" s="5">
        <f t="shared" si="11"/>
        <v>45973.095454533512</v>
      </c>
      <c r="V18" s="10">
        <f t="shared" si="11"/>
        <v>45973.095454533512</v>
      </c>
      <c r="W18" s="763">
        <f t="shared" si="9"/>
        <v>0.2289986605517027</v>
      </c>
      <c r="X18" s="768">
        <f t="shared" si="10"/>
        <v>245483.1294812205</v>
      </c>
      <c r="Y18" s="767"/>
    </row>
    <row r="19" spans="1:25" ht="15.75">
      <c r="A19" s="729"/>
      <c r="B19" s="770" t="s">
        <v>396</v>
      </c>
      <c r="C19" s="5">
        <f t="shared" ref="C19:V19" si="12">C4-C13</f>
        <v>-39752.880667232748</v>
      </c>
      <c r="D19" s="5">
        <f t="shared" si="12"/>
        <v>-43024.048804906692</v>
      </c>
      <c r="E19" s="5">
        <f t="shared" si="12"/>
        <v>-32464.096836096447</v>
      </c>
      <c r="F19" s="5">
        <f t="shared" si="12"/>
        <v>7892.0258346163791</v>
      </c>
      <c r="G19" s="5">
        <f t="shared" si="12"/>
        <v>18482.083066701016</v>
      </c>
      <c r="H19" s="5">
        <f t="shared" si="12"/>
        <v>25210.648918346636</v>
      </c>
      <c r="I19" s="5">
        <f t="shared" si="12"/>
        <v>45883.6697782474</v>
      </c>
      <c r="J19" s="5">
        <f t="shared" si="12"/>
        <v>45883.6697782474</v>
      </c>
      <c r="K19" s="5">
        <f t="shared" si="12"/>
        <v>45883.6697782474</v>
      </c>
      <c r="L19" s="5">
        <f t="shared" si="12"/>
        <v>45883.6697782474</v>
      </c>
      <c r="M19" s="10">
        <f t="shared" si="12"/>
        <v>45883.6697782474</v>
      </c>
      <c r="N19" s="5">
        <f t="shared" si="12"/>
        <v>45883.6697782474</v>
      </c>
      <c r="O19" s="5">
        <f t="shared" si="12"/>
        <v>45883.6697782474</v>
      </c>
      <c r="P19" s="5">
        <f t="shared" si="12"/>
        <v>45883.6697782474</v>
      </c>
      <c r="Q19" s="5">
        <f t="shared" si="12"/>
        <v>45883.6697782474</v>
      </c>
      <c r="R19" s="5">
        <f t="shared" si="12"/>
        <v>45883.6697782474</v>
      </c>
      <c r="S19" s="5">
        <f t="shared" si="12"/>
        <v>45883.6697782474</v>
      </c>
      <c r="T19" s="5">
        <f t="shared" si="12"/>
        <v>45883.6697782474</v>
      </c>
      <c r="U19" s="5">
        <f t="shared" si="12"/>
        <v>45883.6697782474</v>
      </c>
      <c r="V19" s="10">
        <f t="shared" si="12"/>
        <v>45883.6697782474</v>
      </c>
      <c r="W19" s="763">
        <f t="shared" si="9"/>
        <v>0.21593971938008344</v>
      </c>
      <c r="X19" s="768">
        <f t="shared" si="10"/>
        <v>235440.36637961416</v>
      </c>
      <c r="Y19" s="767"/>
    </row>
    <row r="20" spans="1:25" ht="15.75">
      <c r="A20" s="729"/>
      <c r="B20" s="770" t="s">
        <v>395</v>
      </c>
      <c r="C20" s="5">
        <f t="shared" ref="C20:V20" si="13">C4-C14</f>
        <v>-44757.728772753602</v>
      </c>
      <c r="D20" s="5">
        <f t="shared" si="13"/>
        <v>-49312.304457152481</v>
      </c>
      <c r="E20" s="5">
        <f t="shared" si="13"/>
        <v>-38728.175663810587</v>
      </c>
      <c r="F20" s="5">
        <f t="shared" si="13"/>
        <v>1995.58242086268</v>
      </c>
      <c r="G20" s="5">
        <f t="shared" si="13"/>
        <v>12674.41571297371</v>
      </c>
      <c r="H20" s="5">
        <f t="shared" si="13"/>
        <v>23422.135392624346</v>
      </c>
      <c r="I20" s="5">
        <f t="shared" si="13"/>
        <v>45794.244101961289</v>
      </c>
      <c r="J20" s="5">
        <f t="shared" si="13"/>
        <v>45794.244101961289</v>
      </c>
      <c r="K20" s="5">
        <f t="shared" si="13"/>
        <v>45794.244101961289</v>
      </c>
      <c r="L20" s="5">
        <f t="shared" si="13"/>
        <v>45794.244101961289</v>
      </c>
      <c r="M20" s="10">
        <f t="shared" si="13"/>
        <v>45794.244101961289</v>
      </c>
      <c r="N20" s="5">
        <f t="shared" si="13"/>
        <v>45794.244101961289</v>
      </c>
      <c r="O20" s="5">
        <f t="shared" si="13"/>
        <v>45794.244101961289</v>
      </c>
      <c r="P20" s="5">
        <f t="shared" si="13"/>
        <v>45794.244101961289</v>
      </c>
      <c r="Q20" s="5">
        <f t="shared" si="13"/>
        <v>45794.244101961289</v>
      </c>
      <c r="R20" s="5">
        <f t="shared" si="13"/>
        <v>45794.244101961289</v>
      </c>
      <c r="S20" s="5">
        <f t="shared" si="13"/>
        <v>45794.244101961289</v>
      </c>
      <c r="T20" s="5">
        <f t="shared" si="13"/>
        <v>45794.244101961289</v>
      </c>
      <c r="U20" s="5">
        <f t="shared" si="13"/>
        <v>45794.244101961289</v>
      </c>
      <c r="V20" s="10">
        <f t="shared" si="13"/>
        <v>45794.244101961289</v>
      </c>
      <c r="W20" s="763">
        <f t="shared" si="9"/>
        <v>0.18474419346113366</v>
      </c>
      <c r="X20" s="768">
        <f t="shared" si="10"/>
        <v>209005.6808152434</v>
      </c>
      <c r="Y20" s="767"/>
    </row>
    <row r="21" spans="1:25" ht="15.75">
      <c r="A21" s="729"/>
      <c r="B21" s="770" t="s">
        <v>394</v>
      </c>
      <c r="C21" s="5">
        <f t="shared" ref="C21:V21" si="14">C5-C11</f>
        <v>-38389.664088067126</v>
      </c>
      <c r="D21" s="5">
        <f t="shared" si="14"/>
        <v>-40618.980989668533</v>
      </c>
      <c r="E21" s="5">
        <f t="shared" si="14"/>
        <v>-29028.822436811017</v>
      </c>
      <c r="F21" s="5">
        <f t="shared" si="14"/>
        <v>14970.768059415299</v>
      </c>
      <c r="G21" s="5">
        <f t="shared" si="14"/>
        <v>26525.136550680247</v>
      </c>
      <c r="H21" s="5">
        <f t="shared" si="14"/>
        <v>33454.957092492637</v>
      </c>
      <c r="I21" s="5">
        <f t="shared" si="14"/>
        <v>50758.198920187715</v>
      </c>
      <c r="J21" s="5">
        <f t="shared" si="14"/>
        <v>50758.198920187715</v>
      </c>
      <c r="K21" s="5">
        <f t="shared" si="14"/>
        <v>50758.198920187715</v>
      </c>
      <c r="L21" s="5">
        <f t="shared" si="14"/>
        <v>50758.198920187715</v>
      </c>
      <c r="M21" s="10">
        <f t="shared" si="14"/>
        <v>50758.198920187715</v>
      </c>
      <c r="N21" s="5">
        <f t="shared" si="14"/>
        <v>50758.198920187715</v>
      </c>
      <c r="O21" s="5">
        <f t="shared" si="14"/>
        <v>50758.198920187715</v>
      </c>
      <c r="P21" s="5">
        <f t="shared" si="14"/>
        <v>50758.198920187715</v>
      </c>
      <c r="Q21" s="5">
        <f t="shared" si="14"/>
        <v>50758.198920187715</v>
      </c>
      <c r="R21" s="5">
        <f t="shared" si="14"/>
        <v>50758.198920187715</v>
      </c>
      <c r="S21" s="5">
        <f t="shared" si="14"/>
        <v>50758.198920187715</v>
      </c>
      <c r="T21" s="5">
        <f t="shared" si="14"/>
        <v>50758.198920187715</v>
      </c>
      <c r="U21" s="5">
        <f t="shared" si="14"/>
        <v>50758.198920187715</v>
      </c>
      <c r="V21" s="10">
        <f t="shared" si="14"/>
        <v>50758.198920187715</v>
      </c>
      <c r="W21" s="763">
        <f t="shared" si="9"/>
        <v>0.25725328810231896</v>
      </c>
      <c r="X21" s="768">
        <f t="shared" si="10"/>
        <v>291121.24494271621</v>
      </c>
      <c r="Y21" s="767"/>
    </row>
    <row r="22" spans="1:25" ht="15.75">
      <c r="A22" s="729"/>
      <c r="B22" s="770" t="s">
        <v>393</v>
      </c>
      <c r="C22" s="5">
        <f t="shared" ref="C22:V22" si="15">C6-C11</f>
        <v>-40363.012912582053</v>
      </c>
      <c r="D22" s="5">
        <f t="shared" si="15"/>
        <v>-42406.083609260881</v>
      </c>
      <c r="E22" s="5">
        <f t="shared" si="15"/>
        <v>-29769.600589335008</v>
      </c>
      <c r="F22" s="5">
        <f t="shared" si="15"/>
        <v>18118.548008378413</v>
      </c>
      <c r="G22" s="5">
        <f t="shared" si="15"/>
        <v>30696.411798841262</v>
      </c>
      <c r="H22" s="5">
        <f t="shared" si="15"/>
        <v>38122.23821519404</v>
      </c>
      <c r="I22" s="5">
        <f t="shared" si="15"/>
        <v>55453.876709555785</v>
      </c>
      <c r="J22" s="5">
        <f t="shared" si="15"/>
        <v>55453.876709555785</v>
      </c>
      <c r="K22" s="5">
        <f t="shared" si="15"/>
        <v>55453.876709555785</v>
      </c>
      <c r="L22" s="5">
        <f t="shared" si="15"/>
        <v>55453.876709555785</v>
      </c>
      <c r="M22" s="10">
        <f t="shared" si="15"/>
        <v>55453.876709555785</v>
      </c>
      <c r="N22" s="5">
        <f t="shared" si="15"/>
        <v>55453.876709555785</v>
      </c>
      <c r="O22" s="5">
        <f t="shared" si="15"/>
        <v>55453.876709555785</v>
      </c>
      <c r="P22" s="5">
        <f t="shared" si="15"/>
        <v>55453.876709555785</v>
      </c>
      <c r="Q22" s="5">
        <f t="shared" si="15"/>
        <v>55453.876709555785</v>
      </c>
      <c r="R22" s="5">
        <f t="shared" si="15"/>
        <v>55453.876709555785</v>
      </c>
      <c r="S22" s="5">
        <f t="shared" si="15"/>
        <v>55453.876709555785</v>
      </c>
      <c r="T22" s="5">
        <f t="shared" si="15"/>
        <v>55453.876709555785</v>
      </c>
      <c r="U22" s="5">
        <f t="shared" si="15"/>
        <v>55453.876709555785</v>
      </c>
      <c r="V22" s="10">
        <f t="shared" si="15"/>
        <v>55453.876709555785</v>
      </c>
      <c r="W22" s="763">
        <f t="shared" si="9"/>
        <v>0.26989482278499471</v>
      </c>
      <c r="X22" s="768">
        <f t="shared" si="10"/>
        <v>326716.59730260534</v>
      </c>
      <c r="Y22" s="767"/>
    </row>
    <row r="23" spans="1:25" ht="15.75">
      <c r="A23" s="729"/>
      <c r="B23" s="770" t="s">
        <v>392</v>
      </c>
      <c r="C23" s="5">
        <f t="shared" ref="C23:V23" si="16">C7-C11</f>
        <v>-34442.966439037249</v>
      </c>
      <c r="D23" s="5">
        <f t="shared" si="16"/>
        <v>-37044.775750483816</v>
      </c>
      <c r="E23" s="5">
        <f t="shared" si="16"/>
        <v>-27547.266131763037</v>
      </c>
      <c r="F23" s="5">
        <f t="shared" si="16"/>
        <v>8675.2081614890594</v>
      </c>
      <c r="G23" s="5">
        <f t="shared" si="16"/>
        <v>18182.586054358195</v>
      </c>
      <c r="H23" s="5">
        <f t="shared" si="16"/>
        <v>24120.394847089807</v>
      </c>
      <c r="I23" s="5">
        <f t="shared" si="16"/>
        <v>41366.843341451553</v>
      </c>
      <c r="J23" s="5">
        <f t="shared" si="16"/>
        <v>41366.843341451553</v>
      </c>
      <c r="K23" s="5">
        <f t="shared" si="16"/>
        <v>41366.843341451553</v>
      </c>
      <c r="L23" s="5">
        <f t="shared" si="16"/>
        <v>41366.843341451553</v>
      </c>
      <c r="M23" s="10">
        <f t="shared" si="16"/>
        <v>41366.843341451553</v>
      </c>
      <c r="N23" s="5">
        <f t="shared" si="16"/>
        <v>41366.843341451553</v>
      </c>
      <c r="O23" s="5">
        <f t="shared" si="16"/>
        <v>41366.843341451553</v>
      </c>
      <c r="P23" s="5">
        <f t="shared" si="16"/>
        <v>41366.843341451553</v>
      </c>
      <c r="Q23" s="5">
        <f t="shared" si="16"/>
        <v>41366.843341451553</v>
      </c>
      <c r="R23" s="5">
        <f t="shared" si="16"/>
        <v>41366.843341451553</v>
      </c>
      <c r="S23" s="5">
        <f t="shared" si="16"/>
        <v>41366.843341451553</v>
      </c>
      <c r="T23" s="5">
        <f t="shared" si="16"/>
        <v>41366.843341451553</v>
      </c>
      <c r="U23" s="5">
        <f t="shared" si="16"/>
        <v>41366.843341451553</v>
      </c>
      <c r="V23" s="10">
        <f t="shared" si="16"/>
        <v>41366.843341451553</v>
      </c>
      <c r="W23" s="763">
        <f t="shared" si="9"/>
        <v>0.22749379323693272</v>
      </c>
      <c r="X23" s="768">
        <f t="shared" si="10"/>
        <v>219930.54022293785</v>
      </c>
      <c r="Y23" s="767"/>
    </row>
    <row r="24" spans="1:25" ht="15.75">
      <c r="A24" s="729"/>
      <c r="B24" s="770" t="s">
        <v>391</v>
      </c>
      <c r="C24" s="5">
        <f t="shared" ref="C24:V24" si="17">C8-C11</f>
        <v>-32469.617614522314</v>
      </c>
      <c r="D24" s="5">
        <f t="shared" si="17"/>
        <v>-35257.67313089146</v>
      </c>
      <c r="E24" s="5">
        <f t="shared" si="17"/>
        <v>-26806.487979239046</v>
      </c>
      <c r="F24" s="5">
        <f t="shared" si="17"/>
        <v>5527.4282125259451</v>
      </c>
      <c r="G24" s="5">
        <f t="shared" si="17"/>
        <v>14011.310806197172</v>
      </c>
      <c r="H24" s="5">
        <f t="shared" si="17"/>
        <v>19453.113724388397</v>
      </c>
      <c r="I24" s="5">
        <f t="shared" si="17"/>
        <v>36671.165552083476</v>
      </c>
      <c r="J24" s="5">
        <f t="shared" si="17"/>
        <v>36671.165552083476</v>
      </c>
      <c r="K24" s="5">
        <f t="shared" si="17"/>
        <v>36671.165552083476</v>
      </c>
      <c r="L24" s="5">
        <f t="shared" si="17"/>
        <v>36671.165552083476</v>
      </c>
      <c r="M24" s="10">
        <f t="shared" si="17"/>
        <v>36671.165552083476</v>
      </c>
      <c r="N24" s="5">
        <f t="shared" si="17"/>
        <v>36671.165552083476</v>
      </c>
      <c r="O24" s="5">
        <f t="shared" si="17"/>
        <v>36671.165552083476</v>
      </c>
      <c r="P24" s="5">
        <f t="shared" si="17"/>
        <v>36671.165552083476</v>
      </c>
      <c r="Q24" s="5">
        <f t="shared" si="17"/>
        <v>36671.165552083476</v>
      </c>
      <c r="R24" s="5">
        <f t="shared" si="17"/>
        <v>36671.165552083476</v>
      </c>
      <c r="S24" s="5">
        <f t="shared" si="17"/>
        <v>36671.165552083476</v>
      </c>
      <c r="T24" s="5">
        <f t="shared" si="17"/>
        <v>36671.165552083476</v>
      </c>
      <c r="U24" s="5">
        <f t="shared" si="17"/>
        <v>36671.165552083476</v>
      </c>
      <c r="V24" s="10">
        <f t="shared" si="17"/>
        <v>36671.165552083476</v>
      </c>
      <c r="W24" s="763">
        <f t="shared" si="9"/>
        <v>0.20979575541243789</v>
      </c>
      <c r="X24" s="768">
        <f t="shared" si="10"/>
        <v>184335.18786304875</v>
      </c>
      <c r="Y24" s="767"/>
    </row>
    <row r="25" spans="1:25" ht="15.75">
      <c r="A25" s="729"/>
      <c r="B25" s="770" t="s">
        <v>390</v>
      </c>
      <c r="C25" s="5">
        <f t="shared" ref="C25:V25" si="18">C9-C11</f>
        <v>-30496.26879000738</v>
      </c>
      <c r="D25" s="5">
        <f t="shared" si="18"/>
        <v>-33470.570511299098</v>
      </c>
      <c r="E25" s="5">
        <f t="shared" si="18"/>
        <v>-26065.709826715054</v>
      </c>
      <c r="F25" s="5">
        <f t="shared" si="18"/>
        <v>2379.6482635628236</v>
      </c>
      <c r="G25" s="5">
        <f t="shared" si="18"/>
        <v>9840.0355580361465</v>
      </c>
      <c r="H25" s="5">
        <f t="shared" si="18"/>
        <v>14785.83260168698</v>
      </c>
      <c r="I25" s="5">
        <f t="shared" si="18"/>
        <v>31975.487762715398</v>
      </c>
      <c r="J25" s="5">
        <f t="shared" si="18"/>
        <v>31975.487762715398</v>
      </c>
      <c r="K25" s="5">
        <f t="shared" si="18"/>
        <v>31975.487762715398</v>
      </c>
      <c r="L25" s="5">
        <f t="shared" si="18"/>
        <v>31975.487762715398</v>
      </c>
      <c r="M25" s="10">
        <f t="shared" si="18"/>
        <v>31975.487762715398</v>
      </c>
      <c r="N25" s="5">
        <f t="shared" si="18"/>
        <v>31975.487762715398</v>
      </c>
      <c r="O25" s="5">
        <f t="shared" si="18"/>
        <v>31975.487762715398</v>
      </c>
      <c r="P25" s="5">
        <f t="shared" si="18"/>
        <v>31975.487762715398</v>
      </c>
      <c r="Q25" s="5">
        <f t="shared" si="18"/>
        <v>31975.487762715398</v>
      </c>
      <c r="R25" s="5">
        <f t="shared" si="18"/>
        <v>31975.487762715398</v>
      </c>
      <c r="S25" s="5">
        <f t="shared" si="18"/>
        <v>31975.487762715398</v>
      </c>
      <c r="T25" s="5">
        <f t="shared" si="18"/>
        <v>31975.487762715398</v>
      </c>
      <c r="U25" s="5">
        <f t="shared" si="18"/>
        <v>31975.487762715398</v>
      </c>
      <c r="V25" s="10">
        <f t="shared" si="18"/>
        <v>31975.487762715398</v>
      </c>
      <c r="W25" s="763">
        <f t="shared" si="9"/>
        <v>0.18968367428977509</v>
      </c>
      <c r="X25" s="768">
        <f t="shared" si="10"/>
        <v>148739.83550315956</v>
      </c>
      <c r="Y25" s="767"/>
    </row>
    <row r="26" spans="1:25" ht="15.75">
      <c r="A26" s="729"/>
      <c r="B26" s="770" t="s">
        <v>389</v>
      </c>
      <c r="C26" s="5">
        <f>0-C11</f>
        <v>-16682.82701840283</v>
      </c>
      <c r="D26" s="5">
        <f t="shared" ref="D26:V26" si="19">C4-D11</f>
        <v>-40694.340419301967</v>
      </c>
      <c r="E26" s="5">
        <f t="shared" si="19"/>
        <v>-38751.288954970674</v>
      </c>
      <c r="F26" s="5">
        <f t="shared" si="19"/>
        <v>-27062.592904418903</v>
      </c>
      <c r="G26" s="5">
        <f t="shared" si="19"/>
        <v>12118.908310540159</v>
      </c>
      <c r="H26" s="5">
        <f t="shared" si="19"/>
        <v>23827.617224387333</v>
      </c>
      <c r="I26" s="5">
        <f t="shared" si="19"/>
        <v>45778.55446415297</v>
      </c>
      <c r="J26" s="5">
        <f t="shared" si="19"/>
        <v>46062.52113081963</v>
      </c>
      <c r="K26" s="5">
        <f t="shared" si="19"/>
        <v>46062.52113081963</v>
      </c>
      <c r="L26" s="5">
        <f t="shared" si="19"/>
        <v>46062.52113081963</v>
      </c>
      <c r="M26" s="10">
        <f t="shared" si="19"/>
        <v>46062.52113081963</v>
      </c>
      <c r="N26" s="5">
        <f t="shared" si="19"/>
        <v>46062.52113081963</v>
      </c>
      <c r="O26" s="5">
        <f t="shared" si="19"/>
        <v>46062.52113081963</v>
      </c>
      <c r="P26" s="5">
        <f t="shared" si="19"/>
        <v>46062.52113081963</v>
      </c>
      <c r="Q26" s="5">
        <f t="shared" si="19"/>
        <v>46062.52113081963</v>
      </c>
      <c r="R26" s="5">
        <f t="shared" si="19"/>
        <v>46062.52113081963</v>
      </c>
      <c r="S26" s="5">
        <f t="shared" si="19"/>
        <v>46062.52113081963</v>
      </c>
      <c r="T26" s="5">
        <f t="shared" si="19"/>
        <v>46062.52113081963</v>
      </c>
      <c r="U26" s="5">
        <f t="shared" si="19"/>
        <v>46062.52113081963</v>
      </c>
      <c r="V26" s="10">
        <f t="shared" si="19"/>
        <v>46062.52113081963</v>
      </c>
      <c r="W26" s="763">
        <f t="shared" si="9"/>
        <v>0.21244010069063288</v>
      </c>
      <c r="X26" s="768">
        <f t="shared" si="10"/>
        <v>221564.99001440895</v>
      </c>
      <c r="Y26" s="767"/>
    </row>
    <row r="27" spans="1:25" ht="16.5" thickBot="1">
      <c r="A27" s="729"/>
      <c r="B27" s="769" t="s">
        <v>388</v>
      </c>
      <c r="C27" s="11">
        <f>0-C11</f>
        <v>-16682.82701840283</v>
      </c>
      <c r="D27" s="11">
        <f>0-D11</f>
        <v>-20960.852174152613</v>
      </c>
      <c r="E27" s="11">
        <f t="shared" ref="E27:V27" si="20">C4-E11</f>
        <v>-40613.751004196471</v>
      </c>
      <c r="F27" s="11">
        <f t="shared" si="20"/>
        <v>-37525.837575102552</v>
      </c>
      <c r="G27" s="11">
        <f t="shared" si="20"/>
        <v>-26766.672704330922</v>
      </c>
      <c r="H27" s="11">
        <f t="shared" si="20"/>
        <v>13592.664232408275</v>
      </c>
      <c r="I27" s="11">
        <f t="shared" si="20"/>
        <v>40818.495718749087</v>
      </c>
      <c r="J27" s="11">
        <f t="shared" si="20"/>
        <v>45778.55446415297</v>
      </c>
      <c r="K27" s="11">
        <f t="shared" si="20"/>
        <v>46062.52113081963</v>
      </c>
      <c r="L27" s="11">
        <f t="shared" si="20"/>
        <v>46062.52113081963</v>
      </c>
      <c r="M27" s="12">
        <f t="shared" si="20"/>
        <v>46062.52113081963</v>
      </c>
      <c r="N27" s="11">
        <f t="shared" si="20"/>
        <v>46062.52113081963</v>
      </c>
      <c r="O27" s="11">
        <f t="shared" si="20"/>
        <v>46062.52113081963</v>
      </c>
      <c r="P27" s="11">
        <f t="shared" si="20"/>
        <v>46062.52113081963</v>
      </c>
      <c r="Q27" s="11">
        <f t="shared" si="20"/>
        <v>46062.52113081963</v>
      </c>
      <c r="R27" s="11">
        <f t="shared" si="20"/>
        <v>46062.52113081963</v>
      </c>
      <c r="S27" s="11">
        <f t="shared" si="20"/>
        <v>46062.52113081963</v>
      </c>
      <c r="T27" s="11">
        <f t="shared" si="20"/>
        <v>46062.52113081963</v>
      </c>
      <c r="U27" s="11">
        <f t="shared" si="20"/>
        <v>46062.52113081963</v>
      </c>
      <c r="V27" s="12">
        <f t="shared" si="20"/>
        <v>46062.52113081963</v>
      </c>
      <c r="W27" s="763">
        <f t="shared" si="9"/>
        <v>0.18664498108971539</v>
      </c>
      <c r="X27" s="768">
        <f t="shared" si="10"/>
        <v>189526.40268571267</v>
      </c>
      <c r="Y27" s="767"/>
    </row>
    <row r="28" spans="1:25" ht="16.5" thickBot="1">
      <c r="A28" s="729"/>
      <c r="B28" s="766" t="s">
        <v>387</v>
      </c>
      <c r="C28" s="765">
        <f>[14]Calculations!B3</f>
        <v>0.06</v>
      </c>
      <c r="D28" s="733"/>
      <c r="E28" s="733"/>
      <c r="F28" s="733"/>
      <c r="G28" s="733"/>
      <c r="H28" s="733"/>
      <c r="I28" s="733"/>
      <c r="J28" s="733"/>
      <c r="K28" s="733"/>
      <c r="L28" s="733"/>
      <c r="M28" s="784"/>
      <c r="N28" s="733"/>
      <c r="O28" s="764"/>
      <c r="P28" s="764"/>
      <c r="Q28" s="764"/>
      <c r="R28" s="764"/>
      <c r="S28" s="764"/>
      <c r="T28" s="764"/>
      <c r="U28" s="764"/>
      <c r="V28" s="764"/>
      <c r="W28" s="763"/>
      <c r="X28" s="762"/>
    </row>
    <row r="29" spans="1:25" ht="15.75">
      <c r="A29" s="729"/>
      <c r="B29" s="905" t="s">
        <v>386</v>
      </c>
      <c r="C29" s="907" t="s">
        <v>385</v>
      </c>
      <c r="D29" s="909" t="s">
        <v>384</v>
      </c>
      <c r="E29" s="909"/>
      <c r="F29" s="910"/>
      <c r="G29" s="911" t="s">
        <v>383</v>
      </c>
      <c r="H29" s="909"/>
      <c r="I29" s="911" t="s">
        <v>382</v>
      </c>
      <c r="J29" s="909"/>
      <c r="K29" s="910"/>
      <c r="L29" s="909" t="s">
        <v>381</v>
      </c>
      <c r="M29" s="912"/>
      <c r="N29" s="902"/>
      <c r="O29" s="902"/>
      <c r="P29" s="902"/>
      <c r="Q29" s="732"/>
      <c r="R29" s="732"/>
      <c r="S29" s="732"/>
      <c r="T29" s="732"/>
      <c r="U29" s="732"/>
      <c r="V29" s="732"/>
      <c r="W29" s="731"/>
      <c r="X29" s="731"/>
    </row>
    <row r="30" spans="1:25" ht="15.75">
      <c r="A30" s="729"/>
      <c r="B30" s="906"/>
      <c r="C30" s="908"/>
      <c r="D30" s="758" t="s">
        <v>379</v>
      </c>
      <c r="E30" s="761" t="s">
        <v>378</v>
      </c>
      <c r="F30" s="758" t="s">
        <v>380</v>
      </c>
      <c r="G30" s="760" t="s">
        <v>379</v>
      </c>
      <c r="H30" s="758" t="s">
        <v>378</v>
      </c>
      <c r="I30" s="759" t="s">
        <v>377</v>
      </c>
      <c r="J30" s="758" t="s">
        <v>376</v>
      </c>
      <c r="K30" s="757" t="s">
        <v>375</v>
      </c>
      <c r="L30" s="756" t="s">
        <v>374</v>
      </c>
      <c r="M30" s="755" t="s">
        <v>373</v>
      </c>
      <c r="N30" s="754"/>
      <c r="O30" s="754"/>
      <c r="P30" s="754"/>
      <c r="Q30" s="732"/>
      <c r="R30" s="732"/>
      <c r="S30" s="732"/>
      <c r="T30" s="732"/>
      <c r="U30" s="732"/>
      <c r="V30" s="732"/>
      <c r="W30" s="731"/>
      <c r="X30" s="731"/>
    </row>
    <row r="31" spans="1:25" ht="22.5" customHeight="1">
      <c r="A31" s="729"/>
      <c r="B31" s="753" t="s">
        <v>372</v>
      </c>
      <c r="C31" s="752">
        <f>W17</f>
        <v>0.24320452344169657</v>
      </c>
      <c r="D31" s="751">
        <f>W18</f>
        <v>0.2289986605517027</v>
      </c>
      <c r="E31" s="747">
        <f>W19</f>
        <v>0.21593971938008344</v>
      </c>
      <c r="F31" s="751">
        <f>W20</f>
        <v>0.18474419346113366</v>
      </c>
      <c r="G31" s="747">
        <f>W21</f>
        <v>0.25725328810231896</v>
      </c>
      <c r="H31" s="751">
        <f>W22</f>
        <v>0.26989482278499471</v>
      </c>
      <c r="I31" s="750">
        <f>W23</f>
        <v>0.22749379323693272</v>
      </c>
      <c r="J31" s="749">
        <f>W24</f>
        <v>0.20979575541243789</v>
      </c>
      <c r="K31" s="748">
        <f>W25</f>
        <v>0.18968367428977509</v>
      </c>
      <c r="L31" s="747">
        <f>W26</f>
        <v>0.21244010069063288</v>
      </c>
      <c r="M31" s="746">
        <f>W27</f>
        <v>0.18664498108971539</v>
      </c>
      <c r="N31" s="745"/>
      <c r="O31" s="745"/>
      <c r="P31" s="745"/>
      <c r="Q31" s="732"/>
      <c r="R31" s="732"/>
      <c r="S31" s="732"/>
      <c r="T31" s="732"/>
      <c r="U31" s="732"/>
      <c r="V31" s="732"/>
      <c r="W31" s="731"/>
      <c r="X31" s="731"/>
    </row>
    <row r="32" spans="1:25" ht="26.25" customHeight="1" thickBot="1">
      <c r="A32" s="729"/>
      <c r="B32" s="744" t="s">
        <v>407</v>
      </c>
      <c r="C32" s="742">
        <f>X17</f>
        <v>255525.89258282704</v>
      </c>
      <c r="D32" s="742">
        <f>X18</f>
        <v>245483.1294812205</v>
      </c>
      <c r="E32" s="740">
        <f>X19</f>
        <v>235440.36637961416</v>
      </c>
      <c r="F32" s="742">
        <f>X20</f>
        <v>209005.6808152434</v>
      </c>
      <c r="G32" s="740">
        <f>X21</f>
        <v>291121.24494271621</v>
      </c>
      <c r="H32" s="742">
        <f>X22</f>
        <v>326716.59730260534</v>
      </c>
      <c r="I32" s="743">
        <f>X23</f>
        <v>219930.54022293785</v>
      </c>
      <c r="J32" s="742">
        <f>X24</f>
        <v>184335.18786304875</v>
      </c>
      <c r="K32" s="741">
        <f>X25</f>
        <v>148739.83550315956</v>
      </c>
      <c r="L32" s="740">
        <f>X26</f>
        <v>221564.99001440895</v>
      </c>
      <c r="M32" s="739">
        <f>X27</f>
        <v>189526.40268571267</v>
      </c>
      <c r="N32" s="733"/>
      <c r="O32" s="733"/>
      <c r="P32" s="738"/>
      <c r="Q32" s="732"/>
      <c r="R32" s="732"/>
      <c r="S32" s="732"/>
      <c r="T32" s="732"/>
      <c r="U32" s="732"/>
      <c r="V32" s="732"/>
      <c r="W32" s="731"/>
      <c r="X32" s="731"/>
    </row>
    <row r="33" spans="1:24" ht="15.75">
      <c r="A33" s="729"/>
      <c r="B33" s="733"/>
      <c r="C33" s="737"/>
      <c r="D33" s="733"/>
      <c r="E33" s="733"/>
      <c r="F33" s="733"/>
      <c r="G33" s="733"/>
      <c r="H33" s="733"/>
      <c r="I33" s="733"/>
      <c r="J33" s="733"/>
      <c r="K33" s="733"/>
      <c r="L33" s="733"/>
      <c r="M33" s="733"/>
      <c r="N33" s="733"/>
      <c r="O33" s="733"/>
      <c r="P33" s="732"/>
      <c r="Q33" s="732"/>
      <c r="R33" s="732"/>
      <c r="S33" s="732"/>
      <c r="T33" s="732"/>
      <c r="U33" s="732"/>
      <c r="V33" s="732"/>
      <c r="W33" s="731"/>
      <c r="X33" s="731"/>
    </row>
    <row r="34" spans="1:24" s="730" customFormat="1" ht="15.75">
      <c r="A34" s="731"/>
      <c r="B34" s="903"/>
      <c r="C34" s="903"/>
      <c r="D34" s="903"/>
      <c r="E34" s="903"/>
      <c r="F34" s="733"/>
      <c r="G34" s="733"/>
      <c r="H34" s="733"/>
      <c r="I34" s="733"/>
      <c r="J34" s="733"/>
      <c r="K34" s="733"/>
      <c r="L34" s="733"/>
      <c r="M34" s="733"/>
      <c r="N34" s="733"/>
      <c r="O34" s="733"/>
      <c r="P34" s="732"/>
      <c r="Q34" s="732"/>
      <c r="R34" s="732"/>
      <c r="S34" s="732"/>
      <c r="T34" s="732"/>
      <c r="U34" s="732"/>
      <c r="V34" s="732"/>
      <c r="W34" s="731"/>
      <c r="X34" s="731"/>
    </row>
    <row r="35" spans="1:24" s="730" customFormat="1" ht="15.75">
      <c r="A35" s="731"/>
      <c r="B35" s="736"/>
      <c r="C35" s="736"/>
      <c r="D35" s="736"/>
      <c r="E35" s="735"/>
      <c r="F35" s="733"/>
      <c r="G35" s="734"/>
      <c r="H35" s="733"/>
      <c r="I35" s="733"/>
      <c r="J35" s="733"/>
      <c r="K35" s="733"/>
      <c r="L35" s="733"/>
      <c r="M35" s="733"/>
      <c r="N35" s="733"/>
      <c r="O35" s="733"/>
      <c r="P35" s="732"/>
      <c r="Q35" s="732"/>
      <c r="R35" s="732"/>
      <c r="S35" s="732"/>
      <c r="T35" s="732"/>
      <c r="U35" s="732"/>
      <c r="V35" s="732"/>
      <c r="W35" s="731"/>
      <c r="X35" s="731"/>
    </row>
    <row r="36" spans="1:24" s="730" customFormat="1" ht="15.75">
      <c r="A36" s="731"/>
      <c r="B36" s="736"/>
      <c r="C36" s="736"/>
      <c r="D36" s="736"/>
      <c r="E36" s="735"/>
      <c r="F36" s="733"/>
      <c r="G36" s="734"/>
      <c r="H36" s="733"/>
      <c r="I36" s="733"/>
      <c r="J36" s="733"/>
      <c r="K36" s="733"/>
      <c r="L36" s="733"/>
      <c r="M36" s="733"/>
      <c r="N36" s="733"/>
      <c r="O36" s="733"/>
      <c r="P36" s="732"/>
      <c r="Q36" s="732"/>
      <c r="R36" s="732"/>
      <c r="S36" s="732"/>
      <c r="T36" s="732"/>
      <c r="U36" s="732"/>
      <c r="V36" s="732"/>
      <c r="W36" s="731"/>
      <c r="X36" s="731"/>
    </row>
    <row r="37" spans="1:24" ht="15.75">
      <c r="A37" s="729"/>
      <c r="B37" s="729"/>
      <c r="C37" s="729"/>
      <c r="D37" s="729"/>
      <c r="E37" s="729"/>
      <c r="F37" s="729"/>
      <c r="G37" s="729"/>
      <c r="H37" s="729"/>
      <c r="I37" s="729"/>
      <c r="J37" s="729"/>
      <c r="K37" s="729"/>
      <c r="L37" s="729"/>
      <c r="M37" s="729"/>
      <c r="N37" s="729"/>
      <c r="O37" s="729"/>
      <c r="P37" s="729"/>
      <c r="Q37" s="729"/>
      <c r="R37" s="729"/>
      <c r="S37" s="729"/>
      <c r="T37" s="729"/>
      <c r="U37" s="729"/>
      <c r="V37" s="729"/>
      <c r="W37" s="729"/>
      <c r="X37" s="729"/>
    </row>
    <row r="40" spans="1:24" ht="15">
      <c r="B40" s="728"/>
    </row>
    <row r="42" spans="1:24" ht="13.5" thickBot="1"/>
    <row r="43" spans="1:24" ht="76.5">
      <c r="C43" s="727" t="s">
        <v>371</v>
      </c>
      <c r="D43" s="726"/>
      <c r="E43" s="725"/>
      <c r="F43" s="725"/>
      <c r="G43" s="725"/>
      <c r="H43" s="725"/>
    </row>
    <row r="44" spans="1:24">
      <c r="C44" s="721"/>
      <c r="D44" s="724" t="s">
        <v>370</v>
      </c>
      <c r="E44" s="723"/>
      <c r="F44" s="723"/>
      <c r="G44" s="723"/>
      <c r="H44" s="723"/>
    </row>
    <row r="45" spans="1:24">
      <c r="C45" s="721" t="s">
        <v>369</v>
      </c>
      <c r="D45" s="720">
        <v>0.9</v>
      </c>
      <c r="I45" s="722"/>
    </row>
    <row r="46" spans="1:24" ht="25.5">
      <c r="C46" s="721" t="s">
        <v>368</v>
      </c>
      <c r="D46" s="720">
        <v>0.8</v>
      </c>
    </row>
    <row r="47" spans="1:24" ht="13.5" thickBot="1">
      <c r="C47" s="719" t="s">
        <v>367</v>
      </c>
      <c r="D47" s="718">
        <v>0.7</v>
      </c>
    </row>
    <row r="52" spans="2:16" ht="15">
      <c r="B52" s="904"/>
      <c r="C52" s="904"/>
      <c r="D52" s="904"/>
      <c r="E52" s="904"/>
      <c r="F52" s="904"/>
      <c r="G52" s="904"/>
      <c r="H52" s="904"/>
      <c r="I52" s="904"/>
      <c r="J52" s="904"/>
      <c r="K52" s="904"/>
      <c r="L52" s="904"/>
      <c r="M52" s="904"/>
      <c r="N52" s="904"/>
      <c r="O52" s="904"/>
      <c r="P52" s="904"/>
    </row>
  </sheetData>
  <mergeCells count="9">
    <mergeCell ref="N29:P29"/>
    <mergeCell ref="B34:E34"/>
    <mergeCell ref="B52:P52"/>
    <mergeCell ref="B29:B30"/>
    <mergeCell ref="C29:C30"/>
    <mergeCell ref="D29:F29"/>
    <mergeCell ref="G29:H29"/>
    <mergeCell ref="I29:K29"/>
    <mergeCell ref="L29:M29"/>
  </mergeCells>
  <pageMargins left="0.7" right="0.7" top="0.75" bottom="0.75" header="0.3" footer="0.3"/>
  <pageSetup orientation="portrait" horizontalDpi="4294967293" verticalDpi="4294967293" r:id="rId1"/>
</worksheet>
</file>

<file path=xl/worksheets/sheet10.xml><?xml version="1.0" encoding="utf-8"?>
<worksheet xmlns="http://schemas.openxmlformats.org/spreadsheetml/2006/main" xmlns:r="http://schemas.openxmlformats.org/officeDocument/2006/relationships">
  <dimension ref="A1:X49"/>
  <sheetViews>
    <sheetView showGridLines="0" zoomScale="70" zoomScaleNormal="70" workbookViewId="0">
      <selection sqref="A1:XFD1048576"/>
    </sheetView>
  </sheetViews>
  <sheetFormatPr defaultColWidth="9" defaultRowHeight="15"/>
  <cols>
    <col min="1" max="1" width="76.140625" style="98" customWidth="1"/>
    <col min="2" max="2" width="17.7109375" style="98" customWidth="1"/>
    <col min="3" max="3" width="16.5703125" style="98" customWidth="1"/>
    <col min="4" max="4" width="16.42578125" style="98" bestFit="1" customWidth="1"/>
    <col min="5" max="21" width="15.85546875" style="98" customWidth="1"/>
    <col min="22" max="22" width="15.85546875" style="99" customWidth="1"/>
    <col min="23" max="23" width="15.85546875" style="100" customWidth="1"/>
    <col min="24" max="24" width="9" style="101"/>
    <col min="25" max="16384" width="9" style="98"/>
  </cols>
  <sheetData>
    <row r="1" spans="1:24" s="18" customFormat="1" ht="15.75" thickBot="1">
      <c r="A1" s="131" t="s">
        <v>32</v>
      </c>
      <c r="B1" s="132"/>
      <c r="C1" s="132"/>
      <c r="D1" s="132"/>
      <c r="E1" s="132"/>
      <c r="F1" s="132"/>
      <c r="G1" s="132"/>
      <c r="H1" s="132"/>
      <c r="I1" s="132"/>
      <c r="J1" s="132"/>
      <c r="K1" s="132"/>
      <c r="L1" s="132"/>
      <c r="M1" s="132"/>
      <c r="N1" s="132"/>
      <c r="O1" s="132"/>
      <c r="P1" s="132"/>
      <c r="Q1" s="132"/>
      <c r="R1" s="132"/>
      <c r="S1" s="132"/>
      <c r="T1" s="132"/>
      <c r="U1" s="132"/>
      <c r="V1" s="132"/>
      <c r="W1" s="133"/>
      <c r="X1" s="17"/>
    </row>
    <row r="2" spans="1:24" s="18" customFormat="1" ht="14.25">
      <c r="A2" s="19"/>
      <c r="B2" s="20" t="s">
        <v>12</v>
      </c>
      <c r="C2" s="20"/>
      <c r="D2" s="20"/>
      <c r="E2" s="20"/>
      <c r="F2" s="20"/>
      <c r="G2" s="20"/>
      <c r="H2" s="20"/>
      <c r="I2" s="20"/>
      <c r="J2" s="20"/>
      <c r="K2" s="20"/>
      <c r="L2" s="20"/>
      <c r="M2" s="20"/>
      <c r="N2" s="20"/>
      <c r="O2" s="20"/>
      <c r="P2" s="20"/>
      <c r="Q2" s="20"/>
      <c r="R2" s="20"/>
      <c r="S2" s="20"/>
      <c r="T2" s="20"/>
      <c r="U2" s="20"/>
      <c r="V2" s="21"/>
      <c r="W2" s="22"/>
      <c r="X2" s="17"/>
    </row>
    <row r="3" spans="1:24" s="18" customFormat="1" ht="14.25">
      <c r="A3" s="23"/>
      <c r="B3" s="24"/>
      <c r="C3" s="25">
        <v>2023</v>
      </c>
      <c r="D3" s="25">
        <v>2024</v>
      </c>
      <c r="E3" s="25">
        <v>2025</v>
      </c>
      <c r="F3" s="25">
        <v>2026</v>
      </c>
      <c r="G3" s="25">
        <v>2027</v>
      </c>
      <c r="H3" s="25">
        <v>2028</v>
      </c>
      <c r="I3" s="25">
        <v>2029</v>
      </c>
      <c r="J3" s="25">
        <v>2030</v>
      </c>
      <c r="K3" s="25">
        <v>2031</v>
      </c>
      <c r="L3" s="25">
        <v>2032</v>
      </c>
      <c r="M3" s="25">
        <v>2033</v>
      </c>
      <c r="N3" s="25">
        <v>2034</v>
      </c>
      <c r="O3" s="25">
        <v>2035</v>
      </c>
      <c r="P3" s="25">
        <v>2036</v>
      </c>
      <c r="Q3" s="25">
        <v>2037</v>
      </c>
      <c r="R3" s="25">
        <v>2038</v>
      </c>
      <c r="S3" s="25">
        <v>2039</v>
      </c>
      <c r="T3" s="25">
        <v>2040</v>
      </c>
      <c r="U3" s="25">
        <v>2041</v>
      </c>
      <c r="V3" s="26">
        <v>2042</v>
      </c>
      <c r="W3" s="27"/>
      <c r="X3" s="17"/>
    </row>
    <row r="4" spans="1:24" s="18" customFormat="1" ht="14.25">
      <c r="A4" s="28" t="s">
        <v>33</v>
      </c>
      <c r="B4" s="29"/>
      <c r="C4" s="30"/>
      <c r="D4" s="30"/>
      <c r="E4" s="30"/>
      <c r="F4" s="30"/>
      <c r="G4" s="30"/>
      <c r="H4" s="30"/>
      <c r="I4" s="30"/>
      <c r="J4" s="31"/>
      <c r="K4" s="32"/>
      <c r="L4" s="32"/>
      <c r="M4" s="32"/>
      <c r="N4" s="32"/>
      <c r="O4" s="32"/>
      <c r="P4" s="32"/>
      <c r="Q4" s="32"/>
      <c r="R4" s="32"/>
      <c r="S4" s="32"/>
      <c r="T4" s="32"/>
      <c r="U4" s="32"/>
      <c r="V4" s="33"/>
      <c r="W4" s="34"/>
      <c r="X4" s="17"/>
    </row>
    <row r="5" spans="1:24" s="18" customFormat="1" ht="14.25">
      <c r="A5" s="28" t="s">
        <v>13</v>
      </c>
      <c r="B5" s="35" t="s">
        <v>1</v>
      </c>
      <c r="C5" s="420">
        <v>401380</v>
      </c>
      <c r="D5" s="420">
        <v>1451800</v>
      </c>
      <c r="E5" s="420">
        <v>2177700</v>
      </c>
      <c r="F5" s="420">
        <v>4201680</v>
      </c>
      <c r="G5" s="420">
        <v>5252100</v>
      </c>
      <c r="H5" s="420">
        <v>5252100</v>
      </c>
      <c r="I5" s="420">
        <v>5252100</v>
      </c>
      <c r="J5" s="420">
        <v>5252100</v>
      </c>
      <c r="K5" s="420">
        <v>5252100</v>
      </c>
      <c r="L5" s="420">
        <v>5252100</v>
      </c>
      <c r="M5" s="420">
        <v>5252100</v>
      </c>
      <c r="N5" s="420">
        <v>5252100</v>
      </c>
      <c r="O5" s="420">
        <v>5252100</v>
      </c>
      <c r="P5" s="420">
        <v>5252100</v>
      </c>
      <c r="Q5" s="420">
        <v>5252100</v>
      </c>
      <c r="R5" s="420">
        <v>5252100</v>
      </c>
      <c r="S5" s="420">
        <v>5252100</v>
      </c>
      <c r="T5" s="420">
        <v>5252100</v>
      </c>
      <c r="U5" s="420">
        <v>5252100</v>
      </c>
      <c r="V5" s="420">
        <v>5252100</v>
      </c>
      <c r="W5" s="421"/>
      <c r="X5" s="17"/>
    </row>
    <row r="6" spans="1:24" s="18" customFormat="1" ht="14.25">
      <c r="A6" s="38" t="s">
        <v>14</v>
      </c>
      <c r="B6" s="35" t="s">
        <v>1</v>
      </c>
      <c r="C6" s="420">
        <v>101870</v>
      </c>
      <c r="D6" s="420">
        <v>319640</v>
      </c>
      <c r="E6" s="420">
        <v>1348710</v>
      </c>
      <c r="F6" s="420">
        <v>2261880</v>
      </c>
      <c r="G6" s="420">
        <v>2827350</v>
      </c>
      <c r="H6" s="420">
        <v>2827350</v>
      </c>
      <c r="I6" s="420">
        <v>2827350</v>
      </c>
      <c r="J6" s="420">
        <v>2827350</v>
      </c>
      <c r="K6" s="420">
        <v>2827350</v>
      </c>
      <c r="L6" s="420">
        <v>2827350</v>
      </c>
      <c r="M6" s="420">
        <v>2827350</v>
      </c>
      <c r="N6" s="420">
        <v>2827350</v>
      </c>
      <c r="O6" s="420">
        <v>2827350</v>
      </c>
      <c r="P6" s="420">
        <v>2827350</v>
      </c>
      <c r="Q6" s="420">
        <v>2827350</v>
      </c>
      <c r="R6" s="420">
        <v>2827350</v>
      </c>
      <c r="S6" s="420">
        <v>2827350</v>
      </c>
      <c r="T6" s="420">
        <v>2827350</v>
      </c>
      <c r="U6" s="420">
        <v>2827350</v>
      </c>
      <c r="V6" s="420">
        <v>2827350</v>
      </c>
      <c r="W6" s="421"/>
      <c r="X6" s="17"/>
    </row>
    <row r="7" spans="1:24" s="18" customFormat="1" ht="14.25">
      <c r="A7" s="38" t="s">
        <v>15</v>
      </c>
      <c r="B7" s="35" t="s">
        <v>1</v>
      </c>
      <c r="C7" s="420">
        <v>136640</v>
      </c>
      <c r="D7" s="420">
        <v>644160</v>
      </c>
      <c r="E7" s="420">
        <v>1244400</v>
      </c>
      <c r="F7" s="420">
        <v>2771840</v>
      </c>
      <c r="G7" s="420">
        <v>3464800</v>
      </c>
      <c r="H7" s="420">
        <v>3464800</v>
      </c>
      <c r="I7" s="420">
        <v>3464800</v>
      </c>
      <c r="J7" s="420">
        <v>3464800</v>
      </c>
      <c r="K7" s="420">
        <v>3464800</v>
      </c>
      <c r="L7" s="420">
        <v>3464800</v>
      </c>
      <c r="M7" s="420">
        <v>3464800</v>
      </c>
      <c r="N7" s="420">
        <v>3464800</v>
      </c>
      <c r="O7" s="420">
        <v>3464800</v>
      </c>
      <c r="P7" s="420">
        <v>3464800</v>
      </c>
      <c r="Q7" s="420">
        <v>3464800</v>
      </c>
      <c r="R7" s="420">
        <v>3464800</v>
      </c>
      <c r="S7" s="420">
        <v>3464800</v>
      </c>
      <c r="T7" s="420">
        <v>3464800</v>
      </c>
      <c r="U7" s="420">
        <v>3464800</v>
      </c>
      <c r="V7" s="420">
        <v>3464800</v>
      </c>
      <c r="W7" s="421"/>
      <c r="X7" s="17"/>
    </row>
    <row r="8" spans="1:24" s="18" customFormat="1" ht="14.25">
      <c r="A8" s="39" t="s">
        <v>16</v>
      </c>
      <c r="B8" s="40" t="s">
        <v>1</v>
      </c>
      <c r="C8" s="420">
        <v>117120</v>
      </c>
      <c r="D8" s="420">
        <v>1161440</v>
      </c>
      <c r="E8" s="420">
        <v>2437560</v>
      </c>
      <c r="F8" s="420">
        <v>4177280</v>
      </c>
      <c r="G8" s="420">
        <v>5221600</v>
      </c>
      <c r="H8" s="420">
        <v>5221600</v>
      </c>
      <c r="I8" s="420">
        <v>5221600</v>
      </c>
      <c r="J8" s="420">
        <v>5221600</v>
      </c>
      <c r="K8" s="420">
        <v>5221600</v>
      </c>
      <c r="L8" s="420">
        <v>5221600</v>
      </c>
      <c r="M8" s="420">
        <v>5221600</v>
      </c>
      <c r="N8" s="420">
        <v>5221600</v>
      </c>
      <c r="O8" s="420">
        <v>5221600</v>
      </c>
      <c r="P8" s="420">
        <v>5221600</v>
      </c>
      <c r="Q8" s="420">
        <v>5221600</v>
      </c>
      <c r="R8" s="420">
        <v>5221600</v>
      </c>
      <c r="S8" s="420">
        <v>5221600</v>
      </c>
      <c r="T8" s="420">
        <v>5221600</v>
      </c>
      <c r="U8" s="420">
        <v>5221600</v>
      </c>
      <c r="V8" s="420">
        <v>5221600</v>
      </c>
      <c r="W8" s="421"/>
      <c r="X8" s="17"/>
    </row>
    <row r="9" spans="1:24" s="18" customFormat="1" ht="14.25">
      <c r="A9" s="39" t="s">
        <v>17</v>
      </c>
      <c r="B9" s="40" t="s">
        <v>1</v>
      </c>
      <c r="C9" s="420">
        <v>1240435</v>
      </c>
      <c r="D9" s="420">
        <v>2929219.9999999991</v>
      </c>
      <c r="E9" s="420">
        <v>5066354.9999999981</v>
      </c>
      <c r="F9" s="420">
        <v>8548540</v>
      </c>
      <c r="G9" s="420">
        <v>10685675</v>
      </c>
      <c r="H9" s="420">
        <v>10685675</v>
      </c>
      <c r="I9" s="420">
        <v>10685675</v>
      </c>
      <c r="J9" s="420">
        <v>10685675</v>
      </c>
      <c r="K9" s="420">
        <v>10685675</v>
      </c>
      <c r="L9" s="420">
        <v>10685675</v>
      </c>
      <c r="M9" s="420">
        <v>10685675</v>
      </c>
      <c r="N9" s="420">
        <v>10685675</v>
      </c>
      <c r="O9" s="420">
        <v>10685675</v>
      </c>
      <c r="P9" s="420">
        <v>10685675</v>
      </c>
      <c r="Q9" s="420">
        <v>10685675</v>
      </c>
      <c r="R9" s="420">
        <v>10685675</v>
      </c>
      <c r="S9" s="420">
        <v>10685675</v>
      </c>
      <c r="T9" s="420">
        <v>10685675</v>
      </c>
      <c r="U9" s="420">
        <v>10685675</v>
      </c>
      <c r="V9" s="420">
        <v>10685675</v>
      </c>
      <c r="W9" s="421"/>
      <c r="X9" s="17"/>
    </row>
    <row r="10" spans="1:24" s="18" customFormat="1" thickBot="1">
      <c r="A10" s="422" t="s">
        <v>18</v>
      </c>
      <c r="B10" s="42" t="s">
        <v>1</v>
      </c>
      <c r="C10" s="420">
        <v>167140</v>
      </c>
      <c r="D10" s="420">
        <v>334280</v>
      </c>
      <c r="E10" s="420">
        <v>501420</v>
      </c>
      <c r="F10" s="420">
        <v>668560</v>
      </c>
      <c r="G10" s="420">
        <v>835700</v>
      </c>
      <c r="H10" s="420">
        <v>835700</v>
      </c>
      <c r="I10" s="420">
        <v>835700</v>
      </c>
      <c r="J10" s="420">
        <v>835700</v>
      </c>
      <c r="K10" s="420">
        <v>835700</v>
      </c>
      <c r="L10" s="420">
        <v>835700</v>
      </c>
      <c r="M10" s="420">
        <v>835700</v>
      </c>
      <c r="N10" s="420">
        <v>835700</v>
      </c>
      <c r="O10" s="420">
        <v>835700</v>
      </c>
      <c r="P10" s="420">
        <v>835700</v>
      </c>
      <c r="Q10" s="420">
        <v>835700</v>
      </c>
      <c r="R10" s="420">
        <v>835700</v>
      </c>
      <c r="S10" s="420">
        <v>835700</v>
      </c>
      <c r="T10" s="420">
        <v>835700</v>
      </c>
      <c r="U10" s="420">
        <v>835700</v>
      </c>
      <c r="V10" s="420">
        <v>835700</v>
      </c>
      <c r="W10" s="421"/>
      <c r="X10" s="17"/>
    </row>
    <row r="11" spans="1:24" s="48" customFormat="1" thickBot="1">
      <c r="A11" s="43" t="s">
        <v>19</v>
      </c>
      <c r="B11" s="44" t="s">
        <v>1</v>
      </c>
      <c r="C11" s="423">
        <v>2164585</v>
      </c>
      <c r="D11" s="423">
        <v>6840539.9999999991</v>
      </c>
      <c r="E11" s="423">
        <v>12776144.999999998</v>
      </c>
      <c r="F11" s="423">
        <v>22629780</v>
      </c>
      <c r="G11" s="423">
        <v>28287225</v>
      </c>
      <c r="H11" s="423">
        <v>28287225</v>
      </c>
      <c r="I11" s="423">
        <v>28287225</v>
      </c>
      <c r="J11" s="423">
        <v>28287225</v>
      </c>
      <c r="K11" s="423">
        <v>28287225</v>
      </c>
      <c r="L11" s="423">
        <v>28287225</v>
      </c>
      <c r="M11" s="423">
        <v>28287225</v>
      </c>
      <c r="N11" s="423">
        <v>28287225</v>
      </c>
      <c r="O11" s="423">
        <v>28287225</v>
      </c>
      <c r="P11" s="423">
        <v>28287225</v>
      </c>
      <c r="Q11" s="423">
        <v>28287225</v>
      </c>
      <c r="R11" s="423">
        <v>28287225</v>
      </c>
      <c r="S11" s="423">
        <v>28287225</v>
      </c>
      <c r="T11" s="423">
        <v>28287225</v>
      </c>
      <c r="U11" s="423">
        <v>28287225</v>
      </c>
      <c r="V11" s="424">
        <v>28287225</v>
      </c>
      <c r="W11" s="425"/>
      <c r="X11" s="47"/>
    </row>
    <row r="12" spans="1:24" s="18" customFormat="1" ht="14.25">
      <c r="A12" s="49" t="s">
        <v>3</v>
      </c>
      <c r="B12" s="50"/>
      <c r="C12" s="420"/>
      <c r="D12" s="420"/>
      <c r="E12" s="420"/>
      <c r="F12" s="420"/>
      <c r="G12" s="420"/>
      <c r="H12" s="420"/>
      <c r="I12" s="420"/>
      <c r="J12" s="420"/>
      <c r="K12" s="420"/>
      <c r="L12" s="420"/>
      <c r="M12" s="420"/>
      <c r="N12" s="420"/>
      <c r="O12" s="420"/>
      <c r="P12" s="420"/>
      <c r="Q12" s="420"/>
      <c r="R12" s="420"/>
      <c r="S12" s="420"/>
      <c r="T12" s="420"/>
      <c r="U12" s="420"/>
      <c r="V12" s="426"/>
      <c r="W12" s="421"/>
      <c r="X12" s="17"/>
    </row>
    <row r="13" spans="1:24" s="18" customFormat="1" ht="14.25">
      <c r="A13" s="41" t="s">
        <v>35</v>
      </c>
      <c r="B13" s="35" t="s">
        <v>1</v>
      </c>
      <c r="C13" s="420">
        <v>976000</v>
      </c>
      <c r="D13" s="420">
        <v>976000</v>
      </c>
      <c r="E13" s="420">
        <v>976000</v>
      </c>
      <c r="F13" s="420">
        <v>976000</v>
      </c>
      <c r="G13" s="420">
        <v>976000</v>
      </c>
      <c r="H13" s="420"/>
      <c r="I13" s="420"/>
      <c r="J13" s="420"/>
      <c r="K13" s="420"/>
      <c r="L13" s="420"/>
      <c r="M13" s="420"/>
      <c r="N13" s="420"/>
      <c r="O13" s="420"/>
      <c r="P13" s="420"/>
      <c r="Q13" s="420"/>
      <c r="R13" s="420"/>
      <c r="S13" s="420"/>
      <c r="T13" s="420"/>
      <c r="U13" s="420"/>
      <c r="V13" s="426"/>
      <c r="W13" s="421"/>
      <c r="X13" s="17"/>
    </row>
    <row r="14" spans="1:24" s="18" customFormat="1" ht="14.25">
      <c r="A14" s="51" t="s">
        <v>13</v>
      </c>
      <c r="B14" s="35" t="s">
        <v>1</v>
      </c>
      <c r="C14" s="420">
        <v>932141</v>
      </c>
      <c r="D14" s="420">
        <v>1864282</v>
      </c>
      <c r="E14" s="420">
        <v>2796423</v>
      </c>
      <c r="F14" s="420">
        <v>3728564</v>
      </c>
      <c r="G14" s="420">
        <v>4660705</v>
      </c>
      <c r="H14" s="420">
        <v>4660705</v>
      </c>
      <c r="I14" s="420">
        <v>4660705</v>
      </c>
      <c r="J14" s="420">
        <v>4660705</v>
      </c>
      <c r="K14" s="420">
        <v>4660705</v>
      </c>
      <c r="L14" s="420">
        <v>4660705</v>
      </c>
      <c r="M14" s="420">
        <v>4660705</v>
      </c>
      <c r="N14" s="420">
        <v>4660705</v>
      </c>
      <c r="O14" s="420">
        <v>4660705</v>
      </c>
      <c r="P14" s="420">
        <v>4660705</v>
      </c>
      <c r="Q14" s="420">
        <v>4660705</v>
      </c>
      <c r="R14" s="420">
        <v>4660705</v>
      </c>
      <c r="S14" s="420">
        <v>4660705</v>
      </c>
      <c r="T14" s="420">
        <v>4660705</v>
      </c>
      <c r="U14" s="420">
        <v>4660705</v>
      </c>
      <c r="V14" s="420">
        <v>4660705</v>
      </c>
      <c r="W14" s="421"/>
      <c r="X14" s="17"/>
    </row>
    <row r="15" spans="1:24" s="48" customFormat="1" ht="14.25">
      <c r="A15" s="38" t="s">
        <v>14</v>
      </c>
      <c r="B15" s="35" t="s">
        <v>1</v>
      </c>
      <c r="C15" s="420">
        <v>416020</v>
      </c>
      <c r="D15" s="420">
        <v>832040</v>
      </c>
      <c r="E15" s="420">
        <v>1248060</v>
      </c>
      <c r="F15" s="420">
        <v>1664080</v>
      </c>
      <c r="G15" s="420">
        <v>2080100</v>
      </c>
      <c r="H15" s="420">
        <v>2080100</v>
      </c>
      <c r="I15" s="420">
        <v>2080100</v>
      </c>
      <c r="J15" s="420">
        <v>2080100</v>
      </c>
      <c r="K15" s="420">
        <v>2080100</v>
      </c>
      <c r="L15" s="420">
        <v>2080100</v>
      </c>
      <c r="M15" s="420">
        <v>2080100</v>
      </c>
      <c r="N15" s="420">
        <v>2080100</v>
      </c>
      <c r="O15" s="420">
        <v>2080100</v>
      </c>
      <c r="P15" s="420">
        <v>2080100</v>
      </c>
      <c r="Q15" s="420">
        <v>2080100</v>
      </c>
      <c r="R15" s="420">
        <v>2080100</v>
      </c>
      <c r="S15" s="420">
        <v>2080100</v>
      </c>
      <c r="T15" s="420">
        <v>2080100</v>
      </c>
      <c r="U15" s="420">
        <v>2080100</v>
      </c>
      <c r="V15" s="420">
        <v>2080100</v>
      </c>
      <c r="W15" s="421"/>
      <c r="X15" s="47"/>
    </row>
    <row r="16" spans="1:24" s="48" customFormat="1" ht="14.25">
      <c r="A16" s="38" t="s">
        <v>15</v>
      </c>
      <c r="B16" s="35" t="s">
        <v>1</v>
      </c>
      <c r="C16" s="420">
        <v>538691</v>
      </c>
      <c r="D16" s="420">
        <v>1077382</v>
      </c>
      <c r="E16" s="420">
        <v>1616073</v>
      </c>
      <c r="F16" s="420">
        <v>2154764</v>
      </c>
      <c r="G16" s="420">
        <v>2693455</v>
      </c>
      <c r="H16" s="420">
        <v>2693455</v>
      </c>
      <c r="I16" s="420">
        <v>2693455</v>
      </c>
      <c r="J16" s="420">
        <v>2693455</v>
      </c>
      <c r="K16" s="420">
        <v>2693455</v>
      </c>
      <c r="L16" s="420">
        <v>2693455</v>
      </c>
      <c r="M16" s="420">
        <v>2693455</v>
      </c>
      <c r="N16" s="420">
        <v>2693455</v>
      </c>
      <c r="O16" s="420">
        <v>2693455</v>
      </c>
      <c r="P16" s="420">
        <v>2693455</v>
      </c>
      <c r="Q16" s="420">
        <v>2693455</v>
      </c>
      <c r="R16" s="420">
        <v>2693455</v>
      </c>
      <c r="S16" s="420">
        <v>2693455</v>
      </c>
      <c r="T16" s="420">
        <v>2693455</v>
      </c>
      <c r="U16" s="420">
        <v>2693455</v>
      </c>
      <c r="V16" s="420">
        <v>2693455</v>
      </c>
      <c r="W16" s="421"/>
      <c r="X16" s="47"/>
    </row>
    <row r="17" spans="1:24" s="48" customFormat="1" ht="14.25">
      <c r="A17" s="39" t="s">
        <v>16</v>
      </c>
      <c r="B17" s="40" t="s">
        <v>1</v>
      </c>
      <c r="C17" s="420">
        <v>841800</v>
      </c>
      <c r="D17" s="420">
        <v>1683600</v>
      </c>
      <c r="E17" s="420">
        <v>2525400</v>
      </c>
      <c r="F17" s="420">
        <v>3367200</v>
      </c>
      <c r="G17" s="420">
        <v>4209000</v>
      </c>
      <c r="H17" s="420">
        <v>4209000</v>
      </c>
      <c r="I17" s="420">
        <v>4209000</v>
      </c>
      <c r="J17" s="420">
        <v>4209000</v>
      </c>
      <c r="K17" s="420">
        <v>4209000</v>
      </c>
      <c r="L17" s="420">
        <v>4209000</v>
      </c>
      <c r="M17" s="420">
        <v>4209000</v>
      </c>
      <c r="N17" s="420">
        <v>4209000</v>
      </c>
      <c r="O17" s="420">
        <v>4209000</v>
      </c>
      <c r="P17" s="420">
        <v>4209000</v>
      </c>
      <c r="Q17" s="420">
        <v>4209000</v>
      </c>
      <c r="R17" s="420">
        <v>4209000</v>
      </c>
      <c r="S17" s="420">
        <v>4209000</v>
      </c>
      <c r="T17" s="420">
        <v>4209000</v>
      </c>
      <c r="U17" s="420">
        <v>4209000</v>
      </c>
      <c r="V17" s="420">
        <v>4209000</v>
      </c>
      <c r="W17" s="421"/>
      <c r="X17" s="47"/>
    </row>
    <row r="18" spans="1:24" s="18" customFormat="1" thickBot="1">
      <c r="A18" s="39" t="s">
        <v>17</v>
      </c>
      <c r="B18" s="40" t="s">
        <v>1</v>
      </c>
      <c r="C18" s="420">
        <v>1938900.25</v>
      </c>
      <c r="D18" s="420">
        <v>3877800.5</v>
      </c>
      <c r="E18" s="420">
        <v>5816700.75</v>
      </c>
      <c r="F18" s="420">
        <v>7755601</v>
      </c>
      <c r="G18" s="420">
        <v>9694501.25</v>
      </c>
      <c r="H18" s="420">
        <v>9694501.25</v>
      </c>
      <c r="I18" s="420">
        <v>9694501.25</v>
      </c>
      <c r="J18" s="420">
        <v>9694501.25</v>
      </c>
      <c r="K18" s="420">
        <v>9694501.25</v>
      </c>
      <c r="L18" s="420">
        <v>9694501.25</v>
      </c>
      <c r="M18" s="420">
        <v>9694501.25</v>
      </c>
      <c r="N18" s="420">
        <v>9694501.25</v>
      </c>
      <c r="O18" s="420">
        <v>9694501.25</v>
      </c>
      <c r="P18" s="420">
        <v>9694501.25</v>
      </c>
      <c r="Q18" s="420">
        <v>9694501.25</v>
      </c>
      <c r="R18" s="420">
        <v>9694501.25</v>
      </c>
      <c r="S18" s="420">
        <v>9694501.25</v>
      </c>
      <c r="T18" s="420">
        <v>9694501.25</v>
      </c>
      <c r="U18" s="420">
        <v>9694501.25</v>
      </c>
      <c r="V18" s="420">
        <v>9694501.25</v>
      </c>
      <c r="W18" s="421"/>
      <c r="X18" s="17"/>
    </row>
    <row r="19" spans="1:24" s="48" customFormat="1" thickBot="1">
      <c r="A19" s="52" t="s">
        <v>21</v>
      </c>
      <c r="B19" s="44" t="s">
        <v>1</v>
      </c>
      <c r="C19" s="423">
        <v>5643552.25</v>
      </c>
      <c r="D19" s="423">
        <v>10311104.5</v>
      </c>
      <c r="E19" s="423">
        <v>14978656.75</v>
      </c>
      <c r="F19" s="423">
        <v>19646209</v>
      </c>
      <c r="G19" s="423">
        <v>24313761.25</v>
      </c>
      <c r="H19" s="423">
        <v>23337761.25</v>
      </c>
      <c r="I19" s="423">
        <v>23337761.25</v>
      </c>
      <c r="J19" s="423">
        <v>23337761.25</v>
      </c>
      <c r="K19" s="423">
        <v>23337761.25</v>
      </c>
      <c r="L19" s="423">
        <v>23337761.25</v>
      </c>
      <c r="M19" s="423">
        <v>23337761.25</v>
      </c>
      <c r="N19" s="423">
        <v>23337761.25</v>
      </c>
      <c r="O19" s="423">
        <v>23337761.25</v>
      </c>
      <c r="P19" s="423">
        <v>23337761.25</v>
      </c>
      <c r="Q19" s="423">
        <v>23337761.25</v>
      </c>
      <c r="R19" s="423">
        <v>23337761.25</v>
      </c>
      <c r="S19" s="423">
        <v>23337761.25</v>
      </c>
      <c r="T19" s="423">
        <v>23337761.25</v>
      </c>
      <c r="U19" s="423">
        <v>23337761.25</v>
      </c>
      <c r="V19" s="424">
        <v>23337761.25</v>
      </c>
      <c r="W19" s="425"/>
      <c r="X19" s="47"/>
    </row>
    <row r="20" spans="1:24" s="48" customFormat="1" ht="14.25">
      <c r="A20" s="53" t="s">
        <v>0</v>
      </c>
      <c r="B20" s="54" t="s">
        <v>1</v>
      </c>
      <c r="C20" s="423">
        <v>-3478967.25</v>
      </c>
      <c r="D20" s="423">
        <v>-3470564.5000000009</v>
      </c>
      <c r="E20" s="423">
        <v>-2202511.7500000019</v>
      </c>
      <c r="F20" s="423">
        <v>2983571</v>
      </c>
      <c r="G20" s="423">
        <v>3973463.75</v>
      </c>
      <c r="H20" s="423">
        <v>4949463.75</v>
      </c>
      <c r="I20" s="423">
        <v>4949463.75</v>
      </c>
      <c r="J20" s="423">
        <v>4949463.75</v>
      </c>
      <c r="K20" s="423">
        <v>4949463.75</v>
      </c>
      <c r="L20" s="423">
        <v>4949463.75</v>
      </c>
      <c r="M20" s="423">
        <v>4949463.75</v>
      </c>
      <c r="N20" s="423">
        <v>4949463.75</v>
      </c>
      <c r="O20" s="423">
        <v>4949463.75</v>
      </c>
      <c r="P20" s="423">
        <v>4949463.75</v>
      </c>
      <c r="Q20" s="423">
        <v>4949463.75</v>
      </c>
      <c r="R20" s="423">
        <v>4949463.75</v>
      </c>
      <c r="S20" s="423">
        <v>4949463.75</v>
      </c>
      <c r="T20" s="423">
        <v>4949463.75</v>
      </c>
      <c r="U20" s="423">
        <v>4949463.75</v>
      </c>
      <c r="V20" s="424">
        <v>4949463.75</v>
      </c>
      <c r="W20" s="425"/>
      <c r="X20" s="47"/>
    </row>
    <row r="21" spans="1:24" s="18" customFormat="1" thickBot="1">
      <c r="A21" s="64"/>
      <c r="B21" s="22"/>
      <c r="C21" s="65"/>
      <c r="D21" s="65"/>
      <c r="E21" s="65"/>
      <c r="F21" s="65"/>
      <c r="G21" s="65"/>
      <c r="H21" s="65"/>
      <c r="I21" s="66"/>
      <c r="J21" s="66"/>
      <c r="K21" s="67"/>
      <c r="L21" s="67"/>
      <c r="M21" s="67"/>
      <c r="N21" s="67"/>
      <c r="O21" s="67"/>
      <c r="P21" s="67"/>
      <c r="Q21" s="67"/>
      <c r="R21" s="67"/>
      <c r="S21" s="67"/>
      <c r="T21" s="67"/>
      <c r="U21" s="67"/>
      <c r="V21" s="68"/>
      <c r="W21" s="69"/>
      <c r="X21" s="17"/>
    </row>
    <row r="22" spans="1:24" s="18" customFormat="1" ht="14.25">
      <c r="A22" s="134" t="s">
        <v>22</v>
      </c>
      <c r="B22" s="135"/>
      <c r="C22" s="70"/>
      <c r="D22" s="71"/>
      <c r="E22" s="71"/>
      <c r="F22" s="71"/>
      <c r="G22" s="71"/>
      <c r="H22" s="71"/>
      <c r="I22" s="72"/>
      <c r="J22" s="72"/>
      <c r="K22" s="66"/>
      <c r="L22" s="66"/>
      <c r="M22" s="66"/>
      <c r="N22" s="66"/>
      <c r="O22" s="66"/>
      <c r="P22" s="66"/>
      <c r="Q22" s="66"/>
      <c r="R22" s="66"/>
      <c r="S22" s="66"/>
      <c r="T22" s="66"/>
      <c r="U22" s="66"/>
      <c r="V22" s="73"/>
      <c r="W22" s="74"/>
      <c r="X22" s="17"/>
    </row>
    <row r="23" spans="1:24" s="18" customFormat="1" ht="14.25">
      <c r="A23" s="53" t="s">
        <v>10</v>
      </c>
      <c r="B23" s="75">
        <v>8.5000000000000006E-2</v>
      </c>
      <c r="C23" s="70"/>
      <c r="D23" s="71"/>
      <c r="E23" s="71"/>
      <c r="F23" s="71"/>
      <c r="G23" s="71"/>
      <c r="H23" s="71"/>
      <c r="I23" s="72"/>
      <c r="J23" s="72"/>
      <c r="K23" s="72"/>
      <c r="L23" s="72"/>
      <c r="M23" s="72"/>
      <c r="N23" s="72"/>
      <c r="O23" s="72"/>
      <c r="P23" s="72"/>
      <c r="Q23" s="72"/>
      <c r="R23" s="72"/>
      <c r="S23" s="72"/>
      <c r="T23" s="72"/>
      <c r="U23" s="72"/>
      <c r="V23" s="76"/>
      <c r="W23" s="74"/>
      <c r="X23" s="17"/>
    </row>
    <row r="24" spans="1:24" s="18" customFormat="1" thickBot="1">
      <c r="A24" s="136" t="s">
        <v>23</v>
      </c>
      <c r="B24" s="137"/>
      <c r="C24" s="77"/>
      <c r="D24" s="72"/>
      <c r="E24" s="72"/>
      <c r="F24" s="72"/>
      <c r="G24" s="72"/>
      <c r="H24" s="72"/>
      <c r="I24" s="72"/>
      <c r="J24" s="72"/>
      <c r="K24" s="72"/>
      <c r="L24" s="72"/>
      <c r="M24" s="72"/>
      <c r="N24" s="72"/>
      <c r="O24" s="72"/>
      <c r="P24" s="72"/>
      <c r="Q24" s="72"/>
      <c r="R24" s="72"/>
      <c r="S24" s="72"/>
      <c r="T24" s="72"/>
      <c r="U24" s="72"/>
      <c r="V24" s="76"/>
      <c r="W24" s="74"/>
      <c r="X24" s="17"/>
    </row>
    <row r="25" spans="1:24" s="18" customFormat="1" thickBot="1">
      <c r="A25" s="78" t="s">
        <v>7</v>
      </c>
      <c r="B25" s="426">
        <v>24250903.28500443</v>
      </c>
      <c r="C25" s="80" t="s">
        <v>1</v>
      </c>
      <c r="D25" s="80"/>
      <c r="E25" s="80"/>
      <c r="F25" s="80"/>
      <c r="G25" s="80"/>
      <c r="H25" s="80"/>
      <c r="I25" s="80"/>
      <c r="J25" s="80"/>
      <c r="K25" s="72"/>
      <c r="L25" s="72"/>
      <c r="M25" s="72"/>
      <c r="N25" s="72"/>
      <c r="O25" s="72"/>
      <c r="P25" s="72"/>
      <c r="Q25" s="72"/>
      <c r="R25" s="72"/>
      <c r="S25" s="72"/>
      <c r="T25" s="72"/>
      <c r="U25" s="72"/>
      <c r="V25" s="76"/>
      <c r="W25" s="74"/>
      <c r="X25" s="17"/>
    </row>
    <row r="26" spans="1:24" s="18" customFormat="1" thickBot="1">
      <c r="A26" s="78" t="s">
        <v>8</v>
      </c>
      <c r="B26" s="75">
        <v>0.3277770948264771</v>
      </c>
      <c r="C26" s="82" t="s">
        <v>24</v>
      </c>
      <c r="D26" s="82"/>
      <c r="E26" s="82"/>
      <c r="F26" s="82"/>
      <c r="G26" s="82"/>
      <c r="H26" s="82"/>
      <c r="I26" s="82"/>
      <c r="J26" s="82"/>
      <c r="K26" s="72"/>
      <c r="L26" s="72"/>
      <c r="M26" s="72"/>
      <c r="N26" s="72"/>
      <c r="O26" s="72"/>
      <c r="P26" s="72"/>
      <c r="Q26" s="72"/>
      <c r="R26" s="72"/>
      <c r="S26" s="72"/>
      <c r="T26" s="72"/>
      <c r="U26" s="72"/>
      <c r="V26" s="76"/>
      <c r="W26" s="74"/>
      <c r="X26" s="17"/>
    </row>
    <row r="27" spans="1:24" s="18" customFormat="1" thickBot="1">
      <c r="A27" s="78" t="s">
        <v>9</v>
      </c>
      <c r="B27" s="75">
        <v>0.16831067319130733</v>
      </c>
      <c r="C27" s="80" t="s">
        <v>24</v>
      </c>
      <c r="D27" s="80"/>
      <c r="E27" s="80"/>
      <c r="F27" s="80"/>
      <c r="G27" s="80"/>
      <c r="H27" s="80"/>
      <c r="I27" s="80"/>
      <c r="J27" s="80"/>
      <c r="K27" s="72"/>
      <c r="L27" s="72"/>
      <c r="M27" s="72"/>
      <c r="N27" s="72"/>
      <c r="O27" s="72"/>
      <c r="P27" s="72"/>
      <c r="Q27" s="72"/>
      <c r="R27" s="72"/>
      <c r="S27" s="72"/>
      <c r="T27" s="72"/>
      <c r="U27" s="72"/>
      <c r="V27" s="76"/>
      <c r="W27" s="74"/>
      <c r="X27" s="17"/>
    </row>
    <row r="28" spans="1:24" s="18" customFormat="1" thickBot="1">
      <c r="A28" s="83" t="s">
        <v>25</v>
      </c>
      <c r="B28" s="84">
        <v>1.1695383046348966</v>
      </c>
      <c r="C28" s="85"/>
      <c r="D28" s="86"/>
      <c r="E28" s="85"/>
      <c r="F28" s="85"/>
      <c r="G28" s="85"/>
      <c r="H28" s="85"/>
      <c r="I28" s="85"/>
      <c r="J28" s="85"/>
      <c r="K28" s="72"/>
      <c r="L28" s="72"/>
      <c r="M28" s="72"/>
      <c r="N28" s="72"/>
      <c r="O28" s="72"/>
      <c r="P28" s="72"/>
      <c r="Q28" s="72"/>
      <c r="R28" s="72"/>
      <c r="S28" s="72"/>
      <c r="T28" s="72"/>
      <c r="U28" s="72"/>
      <c r="V28" s="76"/>
      <c r="W28" s="74"/>
      <c r="X28" s="17"/>
    </row>
    <row r="29" spans="1:24" s="18" customFormat="1" ht="14.25">
      <c r="A29" s="87"/>
      <c r="B29" s="88"/>
      <c r="D29" s="89"/>
      <c r="V29" s="90"/>
      <c r="W29" s="91"/>
      <c r="X29" s="17"/>
    </row>
    <row r="30" spans="1:24" s="18" customFormat="1" ht="14.25">
      <c r="A30" s="427"/>
      <c r="B30" s="88"/>
      <c r="D30" s="89"/>
      <c r="V30" s="90"/>
      <c r="W30" s="91"/>
      <c r="X30" s="17"/>
    </row>
    <row r="31" spans="1:24" s="18" customFormat="1" ht="14.25">
      <c r="A31" s="427"/>
      <c r="B31" s="88"/>
      <c r="D31" s="89"/>
      <c r="V31" s="90"/>
      <c r="W31" s="91"/>
      <c r="X31" s="17"/>
    </row>
    <row r="34" spans="1:24" s="102" customFormat="1" ht="12.75" customHeight="1" thickBot="1">
      <c r="B34" s="103" t="s">
        <v>26</v>
      </c>
      <c r="C34" s="104"/>
      <c r="D34" s="104"/>
      <c r="E34" s="104"/>
      <c r="F34" s="104"/>
      <c r="G34" s="104"/>
      <c r="H34" s="104"/>
      <c r="I34" s="104"/>
      <c r="J34" s="104"/>
      <c r="K34" s="104"/>
      <c r="L34" s="104"/>
      <c r="M34" s="104"/>
      <c r="N34" s="104"/>
      <c r="O34" s="104"/>
      <c r="P34" s="104"/>
      <c r="Q34" s="104"/>
      <c r="R34" s="104"/>
      <c r="S34" s="104"/>
      <c r="T34" s="104"/>
      <c r="U34" s="104"/>
      <c r="V34" s="105"/>
      <c r="W34" s="106"/>
      <c r="X34" s="107"/>
    </row>
    <row r="35" spans="1:24" s="102" customFormat="1" ht="12.75">
      <c r="B35" s="108" t="s">
        <v>27</v>
      </c>
      <c r="C35" s="109">
        <v>0</v>
      </c>
      <c r="D35" s="110">
        <v>1</v>
      </c>
      <c r="E35" s="110">
        <v>2</v>
      </c>
      <c r="F35" s="110">
        <v>3</v>
      </c>
      <c r="G35" s="110">
        <v>4</v>
      </c>
      <c r="H35" s="110">
        <v>5</v>
      </c>
      <c r="I35" s="110">
        <v>6</v>
      </c>
      <c r="J35" s="110">
        <v>7</v>
      </c>
      <c r="K35" s="110">
        <v>8</v>
      </c>
      <c r="L35" s="110">
        <v>9</v>
      </c>
      <c r="M35" s="110">
        <v>10</v>
      </c>
      <c r="N35" s="110">
        <v>11</v>
      </c>
      <c r="O35" s="110">
        <v>12</v>
      </c>
      <c r="P35" s="110">
        <v>13</v>
      </c>
      <c r="Q35" s="110">
        <v>14</v>
      </c>
      <c r="R35" s="110">
        <v>15</v>
      </c>
      <c r="S35" s="110">
        <v>16</v>
      </c>
      <c r="T35" s="110">
        <v>17</v>
      </c>
      <c r="U35" s="110">
        <v>18</v>
      </c>
      <c r="V35" s="110">
        <v>19</v>
      </c>
      <c r="W35" s="111">
        <v>20</v>
      </c>
      <c r="X35" s="107"/>
    </row>
    <row r="36" spans="1:24" s="102" customFormat="1" ht="12.75">
      <c r="B36" s="108" t="s">
        <v>28</v>
      </c>
      <c r="C36" s="112">
        <v>-4880000</v>
      </c>
      <c r="D36" s="113"/>
      <c r="E36" s="113"/>
      <c r="F36" s="113"/>
      <c r="G36" s="113"/>
      <c r="H36" s="113"/>
      <c r="I36" s="113"/>
      <c r="J36" s="113"/>
      <c r="K36" s="113"/>
      <c r="L36" s="113"/>
      <c r="M36" s="113"/>
      <c r="N36" s="113"/>
      <c r="O36" s="113"/>
      <c r="P36" s="113"/>
      <c r="Q36" s="113"/>
      <c r="R36" s="113"/>
      <c r="S36" s="113"/>
      <c r="T36" s="113"/>
      <c r="U36" s="113"/>
      <c r="V36" s="113"/>
      <c r="W36" s="114"/>
      <c r="X36" s="107"/>
    </row>
    <row r="37" spans="1:24" s="102" customFormat="1" ht="12.75">
      <c r="B37" s="108" t="s">
        <v>29</v>
      </c>
      <c r="D37" s="115">
        <v>-2502967.25</v>
      </c>
      <c r="E37" s="115">
        <v>-2494564.5000000009</v>
      </c>
      <c r="F37" s="115">
        <v>-1226511.7500000019</v>
      </c>
      <c r="G37" s="115">
        <v>3959571</v>
      </c>
      <c r="H37" s="115">
        <v>4949463.75</v>
      </c>
      <c r="I37" s="115">
        <v>4949463.75</v>
      </c>
      <c r="J37" s="115">
        <v>28287225</v>
      </c>
      <c r="K37" s="115">
        <v>28287225</v>
      </c>
      <c r="L37" s="115">
        <v>28287225</v>
      </c>
      <c r="M37" s="115">
        <v>28287225</v>
      </c>
      <c r="N37" s="115">
        <v>28287225</v>
      </c>
      <c r="O37" s="115">
        <v>28287225</v>
      </c>
      <c r="P37" s="115">
        <v>28287225</v>
      </c>
      <c r="Q37" s="115">
        <v>28287225</v>
      </c>
      <c r="R37" s="115">
        <v>28287225</v>
      </c>
      <c r="S37" s="115">
        <v>28287225</v>
      </c>
      <c r="T37" s="115">
        <v>28287225</v>
      </c>
      <c r="U37" s="115">
        <v>28287225</v>
      </c>
      <c r="V37" s="115">
        <v>28287225</v>
      </c>
      <c r="W37" s="116">
        <v>28287225</v>
      </c>
      <c r="X37" s="107"/>
    </row>
    <row r="38" spans="1:24" s="102" customFormat="1" ht="13.5" thickBot="1">
      <c r="B38" s="108" t="s">
        <v>30</v>
      </c>
      <c r="C38" s="117">
        <v>-4880000</v>
      </c>
      <c r="D38" s="118">
        <v>-7382967.25</v>
      </c>
      <c r="E38" s="118">
        <v>-9877531.75</v>
      </c>
      <c r="F38" s="118">
        <v>-11104043.500000002</v>
      </c>
      <c r="G38" s="118">
        <v>-7144472.5000000019</v>
      </c>
      <c r="H38" s="118">
        <v>-2195008.7500000019</v>
      </c>
      <c r="I38" s="118">
        <v>2754454.9999999981</v>
      </c>
      <c r="J38" s="118">
        <v>31041680</v>
      </c>
      <c r="K38" s="118">
        <v>59328905</v>
      </c>
      <c r="L38" s="118">
        <v>87616130</v>
      </c>
      <c r="M38" s="118">
        <v>115903355</v>
      </c>
      <c r="N38" s="118">
        <v>144190580</v>
      </c>
      <c r="O38" s="118">
        <v>172477805</v>
      </c>
      <c r="P38" s="118">
        <v>200765030</v>
      </c>
      <c r="Q38" s="118">
        <v>229052255</v>
      </c>
      <c r="R38" s="118">
        <v>257339480</v>
      </c>
      <c r="S38" s="118">
        <v>285626705</v>
      </c>
      <c r="T38" s="118">
        <v>313913930</v>
      </c>
      <c r="U38" s="118">
        <v>342201155</v>
      </c>
      <c r="V38" s="118">
        <v>370488380</v>
      </c>
      <c r="W38" s="119">
        <v>398775605</v>
      </c>
      <c r="X38" s="107"/>
    </row>
    <row r="39" spans="1:24" s="128" customFormat="1" ht="14.25">
      <c r="A39" s="120"/>
      <c r="B39" s="121"/>
      <c r="C39" s="122"/>
      <c r="D39" s="123"/>
      <c r="E39" s="124"/>
      <c r="F39" s="124"/>
      <c r="G39" s="124"/>
      <c r="H39" s="124"/>
      <c r="I39" s="124"/>
      <c r="J39" s="124"/>
      <c r="K39" s="124"/>
      <c r="L39" s="124"/>
      <c r="M39" s="124"/>
      <c r="N39" s="124"/>
      <c r="O39" s="124"/>
      <c r="P39" s="124"/>
      <c r="Q39" s="124"/>
      <c r="R39" s="124"/>
      <c r="S39" s="124"/>
      <c r="T39" s="124"/>
      <c r="U39" s="124"/>
      <c r="V39" s="125"/>
      <c r="W39" s="126"/>
      <c r="X39" s="127"/>
    </row>
    <row r="40" spans="1:24" s="128" customFormat="1" thickBot="1">
      <c r="B40" s="129" t="s">
        <v>31</v>
      </c>
      <c r="C40" s="130">
        <v>5.4434841552279281</v>
      </c>
      <c r="D40" s="127"/>
      <c r="V40" s="121"/>
      <c r="W40" s="126"/>
      <c r="X40" s="127"/>
    </row>
    <row r="41" spans="1:24" ht="15.75" thickBot="1"/>
    <row r="42" spans="1:24" s="102" customFormat="1" ht="12.75">
      <c r="A42" s="106"/>
      <c r="B42" s="143" t="s">
        <v>89</v>
      </c>
      <c r="C42" s="366"/>
      <c r="D42" s="367"/>
      <c r="E42" s="367"/>
      <c r="F42" s="367"/>
      <c r="G42" s="367"/>
      <c r="H42" s="367"/>
      <c r="I42" s="368"/>
      <c r="J42" s="368"/>
      <c r="K42" s="368"/>
      <c r="L42" s="368"/>
      <c r="M42" s="368"/>
      <c r="N42" s="368"/>
      <c r="O42" s="368"/>
      <c r="P42" s="368"/>
      <c r="Q42" s="368"/>
      <c r="R42" s="368"/>
      <c r="S42" s="368"/>
      <c r="T42" s="368"/>
      <c r="U42" s="368"/>
      <c r="V42" s="369"/>
      <c r="W42" s="370"/>
      <c r="X42" s="107"/>
    </row>
    <row r="43" spans="1:24" s="102" customFormat="1" ht="12.75">
      <c r="A43" s="106"/>
      <c r="B43" s="143" t="s">
        <v>90</v>
      </c>
      <c r="C43" s="371">
        <v>-2502967.25</v>
      </c>
      <c r="D43" s="371">
        <v>-2494564.5000000009</v>
      </c>
      <c r="E43" s="371">
        <v>-1226511.7500000019</v>
      </c>
      <c r="F43" s="371">
        <v>3959571</v>
      </c>
      <c r="G43" s="371">
        <v>4949463.75</v>
      </c>
      <c r="H43" s="371">
        <v>4949463.75</v>
      </c>
      <c r="I43" s="372"/>
      <c r="J43" s="373"/>
      <c r="K43" s="373"/>
      <c r="L43" s="373"/>
      <c r="M43" s="373"/>
      <c r="N43" s="373"/>
      <c r="O43" s="373"/>
      <c r="P43" s="373"/>
      <c r="Q43" s="373"/>
      <c r="R43" s="373"/>
      <c r="S43" s="373"/>
      <c r="T43" s="373"/>
      <c r="U43" s="373"/>
      <c r="V43" s="373"/>
      <c r="W43" s="374"/>
      <c r="X43" s="107"/>
    </row>
    <row r="44" spans="1:24" s="102" customFormat="1" ht="12.75">
      <c r="A44" s="106"/>
      <c r="B44" s="143" t="s">
        <v>91</v>
      </c>
      <c r="C44" s="428">
        <v>976000</v>
      </c>
      <c r="D44" s="429">
        <v>976000</v>
      </c>
      <c r="E44" s="429">
        <v>976000</v>
      </c>
      <c r="F44" s="429">
        <v>976000</v>
      </c>
      <c r="G44" s="429">
        <v>976000</v>
      </c>
      <c r="H44" s="429">
        <v>0</v>
      </c>
      <c r="I44" s="373"/>
      <c r="V44" s="150"/>
      <c r="W44" s="376"/>
      <c r="X44" s="107"/>
    </row>
    <row r="45" spans="1:24" s="102" customFormat="1" ht="12.75">
      <c r="A45" s="106"/>
      <c r="B45" s="143" t="s">
        <v>92</v>
      </c>
      <c r="C45" s="377">
        <v>-212752.21625000003</v>
      </c>
      <c r="D45" s="371">
        <v>-212037.9825000001</v>
      </c>
      <c r="E45" s="371">
        <v>-104253.49875000016</v>
      </c>
      <c r="F45" s="371">
        <v>336563.53500000003</v>
      </c>
      <c r="G45" s="371">
        <v>420704.41875000001</v>
      </c>
      <c r="H45" s="371">
        <v>420704.41875000001</v>
      </c>
      <c r="I45" s="107"/>
      <c r="W45" s="378"/>
      <c r="X45" s="107"/>
    </row>
    <row r="46" spans="1:24" s="102" customFormat="1" ht="12.75">
      <c r="A46" s="106"/>
      <c r="B46" s="143" t="s">
        <v>93</v>
      </c>
      <c r="C46" s="379">
        <v>763247.78374999994</v>
      </c>
      <c r="D46" s="380">
        <v>763962.01749999984</v>
      </c>
      <c r="E46" s="380">
        <v>871746.50124999986</v>
      </c>
      <c r="F46" s="380">
        <v>1312563.5350000001</v>
      </c>
      <c r="G46" s="380">
        <v>1396704.41875</v>
      </c>
      <c r="H46" s="380">
        <v>420704.41875000001</v>
      </c>
      <c r="V46" s="150"/>
      <c r="W46" s="376"/>
      <c r="X46" s="107"/>
    </row>
    <row r="47" spans="1:24" s="102" customFormat="1" ht="12.75">
      <c r="A47" s="106"/>
      <c r="B47" s="381" t="s">
        <v>89</v>
      </c>
      <c r="C47" s="382">
        <v>-3.2793639277960107</v>
      </c>
      <c r="D47" s="383">
        <v>-3.2652991154759881</v>
      </c>
      <c r="E47" s="383">
        <v>-1.406959188527058</v>
      </c>
      <c r="F47" s="383">
        <v>3.0166699701892905</v>
      </c>
      <c r="G47" s="383">
        <v>3.5436730088028154</v>
      </c>
      <c r="H47" s="383">
        <v>11.76470588235294</v>
      </c>
      <c r="I47" s="384">
        <v>11.76470588235294</v>
      </c>
      <c r="J47" s="384">
        <v>11.76470588235294</v>
      </c>
      <c r="K47" s="384">
        <v>11.76470588235294</v>
      </c>
      <c r="L47" s="384">
        <v>11.76470588235294</v>
      </c>
      <c r="M47" s="384">
        <v>11.76470588235294</v>
      </c>
      <c r="N47" s="384">
        <v>11.76470588235294</v>
      </c>
      <c r="O47" s="384">
        <v>11.76470588235294</v>
      </c>
      <c r="P47" s="384">
        <v>11.76470588235294</v>
      </c>
      <c r="Q47" s="384">
        <v>11.76470588235294</v>
      </c>
      <c r="R47" s="384">
        <v>11.76470588235294</v>
      </c>
      <c r="S47" s="384">
        <v>11.76470588235294</v>
      </c>
      <c r="T47" s="384">
        <v>11.76470588235294</v>
      </c>
      <c r="U47" s="384">
        <v>11.76470588235294</v>
      </c>
      <c r="V47" s="384">
        <v>11.76470588235294</v>
      </c>
      <c r="W47" s="385">
        <v>11.76470588235294</v>
      </c>
      <c r="X47" s="107"/>
    </row>
    <row r="48" spans="1:24">
      <c r="A48" s="106"/>
      <c r="B48" s="106"/>
      <c r="C48" s="386"/>
      <c r="D48" s="102"/>
      <c r="E48" s="102"/>
      <c r="F48" s="102"/>
      <c r="G48" s="102"/>
      <c r="H48" s="102"/>
      <c r="I48" s="102"/>
      <c r="J48" s="102"/>
      <c r="K48" s="102"/>
      <c r="L48" s="102"/>
      <c r="M48" s="102"/>
      <c r="N48" s="102"/>
      <c r="O48" s="102"/>
      <c r="P48" s="102"/>
      <c r="Q48" s="102"/>
      <c r="R48" s="102"/>
      <c r="S48" s="102"/>
      <c r="T48" s="102"/>
      <c r="U48" s="102"/>
      <c r="V48" s="150"/>
      <c r="W48" s="376"/>
    </row>
    <row r="49" spans="1:23" ht="15.75" thickBot="1">
      <c r="A49" s="106"/>
      <c r="B49" s="381" t="s">
        <v>94</v>
      </c>
      <c r="C49" s="387">
        <v>8.8973340411828588</v>
      </c>
      <c r="D49" s="388"/>
      <c r="E49" s="388"/>
      <c r="F49" s="388"/>
      <c r="G49" s="388"/>
      <c r="H49" s="388"/>
      <c r="I49" s="388"/>
      <c r="J49" s="388"/>
      <c r="K49" s="388"/>
      <c r="L49" s="388"/>
      <c r="M49" s="388"/>
      <c r="N49" s="388"/>
      <c r="O49" s="388"/>
      <c r="P49" s="388"/>
      <c r="Q49" s="388"/>
      <c r="R49" s="388"/>
      <c r="S49" s="388"/>
      <c r="T49" s="388"/>
      <c r="U49" s="388"/>
      <c r="V49" s="389"/>
      <c r="W49" s="390"/>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dimension ref="A1:X57"/>
  <sheetViews>
    <sheetView showGridLines="0" zoomScale="70" zoomScaleNormal="70" workbookViewId="0">
      <selection sqref="A1:XFD1048576"/>
    </sheetView>
  </sheetViews>
  <sheetFormatPr defaultColWidth="9" defaultRowHeight="15"/>
  <cols>
    <col min="1" max="1" width="76.140625" style="98" customWidth="1"/>
    <col min="2" max="2" width="15.85546875" style="98" bestFit="1" customWidth="1"/>
    <col min="3" max="4" width="16.42578125" style="98" bestFit="1" customWidth="1"/>
    <col min="5" max="21" width="15.85546875" style="98" customWidth="1"/>
    <col min="22" max="22" width="15.85546875" style="99" customWidth="1"/>
    <col min="23" max="23" width="15.85546875" style="100" customWidth="1"/>
    <col min="24" max="24" width="9" style="101"/>
    <col min="25" max="16384" width="9" style="98"/>
  </cols>
  <sheetData>
    <row r="1" spans="1:24" s="18" customFormat="1" ht="15.75" thickBot="1">
      <c r="A1" s="131" t="s">
        <v>32</v>
      </c>
      <c r="B1" s="132"/>
      <c r="C1" s="132"/>
      <c r="D1" s="132"/>
      <c r="E1" s="132"/>
      <c r="F1" s="132"/>
      <c r="G1" s="132"/>
      <c r="H1" s="132"/>
      <c r="I1" s="132"/>
      <c r="J1" s="132"/>
      <c r="K1" s="132"/>
      <c r="L1" s="132"/>
      <c r="M1" s="132"/>
      <c r="N1" s="132"/>
      <c r="O1" s="132"/>
      <c r="P1" s="132"/>
      <c r="Q1" s="132"/>
      <c r="R1" s="132"/>
      <c r="S1" s="132"/>
      <c r="T1" s="132"/>
      <c r="U1" s="132"/>
      <c r="V1" s="132"/>
      <c r="W1" s="133"/>
      <c r="X1" s="17"/>
    </row>
    <row r="2" spans="1:24" s="18" customFormat="1" ht="14.25">
      <c r="A2" s="19"/>
      <c r="B2" s="20" t="s">
        <v>12</v>
      </c>
      <c r="C2" s="20"/>
      <c r="D2" s="20"/>
      <c r="E2" s="20"/>
      <c r="F2" s="20"/>
      <c r="G2" s="20"/>
      <c r="H2" s="20"/>
      <c r="I2" s="20"/>
      <c r="J2" s="20"/>
      <c r="K2" s="20"/>
      <c r="L2" s="20"/>
      <c r="M2" s="20"/>
      <c r="N2" s="20"/>
      <c r="O2" s="20"/>
      <c r="P2" s="20"/>
      <c r="Q2" s="20"/>
      <c r="R2" s="20"/>
      <c r="S2" s="20"/>
      <c r="T2" s="20"/>
      <c r="U2" s="20"/>
      <c r="V2" s="21"/>
      <c r="W2" s="22"/>
      <c r="X2" s="17"/>
    </row>
    <row r="3" spans="1:24" s="18" customFormat="1" ht="14.25">
      <c r="A3" s="23"/>
      <c r="B3" s="24"/>
      <c r="C3" s="25">
        <v>2023</v>
      </c>
      <c r="D3" s="25">
        <v>2024</v>
      </c>
      <c r="E3" s="25">
        <v>2025</v>
      </c>
      <c r="F3" s="25">
        <v>2026</v>
      </c>
      <c r="G3" s="25">
        <v>2027</v>
      </c>
      <c r="H3" s="25">
        <v>2028</v>
      </c>
      <c r="I3" s="25">
        <v>2029</v>
      </c>
      <c r="J3" s="25">
        <v>2030</v>
      </c>
      <c r="K3" s="25">
        <v>2031</v>
      </c>
      <c r="L3" s="25">
        <v>2032</v>
      </c>
      <c r="M3" s="25">
        <v>2033</v>
      </c>
      <c r="N3" s="25">
        <v>2034</v>
      </c>
      <c r="O3" s="25">
        <v>2035</v>
      </c>
      <c r="P3" s="25">
        <v>2036</v>
      </c>
      <c r="Q3" s="25">
        <v>2037</v>
      </c>
      <c r="R3" s="25">
        <v>2038</v>
      </c>
      <c r="S3" s="25">
        <v>2039</v>
      </c>
      <c r="T3" s="25">
        <v>2040</v>
      </c>
      <c r="U3" s="25">
        <v>2041</v>
      </c>
      <c r="V3" s="26">
        <v>2042</v>
      </c>
      <c r="W3" s="27"/>
      <c r="X3" s="17"/>
    </row>
    <row r="4" spans="1:24" s="18" customFormat="1" ht="14.25">
      <c r="A4" s="28" t="s">
        <v>33</v>
      </c>
      <c r="B4" s="29"/>
      <c r="C4" s="30"/>
      <c r="D4" s="30"/>
      <c r="E4" s="30"/>
      <c r="F4" s="30"/>
      <c r="G4" s="30"/>
      <c r="H4" s="30"/>
      <c r="I4" s="30"/>
      <c r="J4" s="31"/>
      <c r="K4" s="32"/>
      <c r="L4" s="32"/>
      <c r="M4" s="32"/>
      <c r="N4" s="32"/>
      <c r="O4" s="32"/>
      <c r="P4" s="32"/>
      <c r="Q4" s="32"/>
      <c r="R4" s="32"/>
      <c r="S4" s="32"/>
      <c r="T4" s="32"/>
      <c r="U4" s="32"/>
      <c r="V4" s="33"/>
      <c r="W4" s="34"/>
      <c r="X4" s="17"/>
    </row>
    <row r="5" spans="1:24" s="18" customFormat="1" ht="14.25">
      <c r="A5" s="28" t="s">
        <v>13</v>
      </c>
      <c r="B5" s="35" t="s">
        <v>1</v>
      </c>
      <c r="C5" s="36">
        <v>628246.95652173925</v>
      </c>
      <c r="D5" s="36">
        <v>2272382.6086956523</v>
      </c>
      <c r="E5" s="36">
        <v>3408573.9130434785</v>
      </c>
      <c r="F5" s="36">
        <v>6576542.6086956523</v>
      </c>
      <c r="G5" s="36">
        <v>8220678.2608695654</v>
      </c>
      <c r="H5" s="36">
        <v>8220678.2608695654</v>
      </c>
      <c r="I5" s="36">
        <v>8220678.2608695654</v>
      </c>
      <c r="J5" s="36">
        <v>8220678.2608695654</v>
      </c>
      <c r="K5" s="36">
        <v>8220678.2608695654</v>
      </c>
      <c r="L5" s="36">
        <v>8220678.2608695654</v>
      </c>
      <c r="M5" s="36">
        <v>8220678.2608695654</v>
      </c>
      <c r="N5" s="36">
        <v>8220678.2608695654</v>
      </c>
      <c r="O5" s="36">
        <v>8220678.2608695654</v>
      </c>
      <c r="P5" s="36">
        <v>8220678.2608695654</v>
      </c>
      <c r="Q5" s="36">
        <v>8220678.2608695654</v>
      </c>
      <c r="R5" s="36">
        <v>8220678.2608695654</v>
      </c>
      <c r="S5" s="36">
        <v>8220678.2608695654</v>
      </c>
      <c r="T5" s="36">
        <v>8220678.2608695654</v>
      </c>
      <c r="U5" s="36">
        <v>8220678.2608695654</v>
      </c>
      <c r="V5" s="37">
        <v>8220678.2608695654</v>
      </c>
      <c r="W5" s="5"/>
      <c r="X5" s="17"/>
    </row>
    <row r="6" spans="1:24" s="18" customFormat="1" ht="14.25">
      <c r="A6" s="38" t="s">
        <v>14</v>
      </c>
      <c r="B6" s="35" t="s">
        <v>1</v>
      </c>
      <c r="C6" s="36">
        <v>141050.76923076925</v>
      </c>
      <c r="D6" s="36">
        <v>442578.46153846162</v>
      </c>
      <c r="E6" s="36">
        <v>1867444.6153846155</v>
      </c>
      <c r="F6" s="36">
        <v>3131833.8461538465</v>
      </c>
      <c r="G6" s="36">
        <v>3914792.307692308</v>
      </c>
      <c r="H6" s="36">
        <v>3914792.307692308</v>
      </c>
      <c r="I6" s="36">
        <v>3914792.307692308</v>
      </c>
      <c r="J6" s="36">
        <v>3914792.307692308</v>
      </c>
      <c r="K6" s="36">
        <v>3914792.307692308</v>
      </c>
      <c r="L6" s="36">
        <v>3914792.307692308</v>
      </c>
      <c r="M6" s="36">
        <v>3914792.307692308</v>
      </c>
      <c r="N6" s="36">
        <v>3914792.307692308</v>
      </c>
      <c r="O6" s="36">
        <v>3914792.307692308</v>
      </c>
      <c r="P6" s="36">
        <v>3914792.307692308</v>
      </c>
      <c r="Q6" s="36">
        <v>3914792.307692308</v>
      </c>
      <c r="R6" s="36">
        <v>3914792.307692308</v>
      </c>
      <c r="S6" s="36">
        <v>3914792.307692308</v>
      </c>
      <c r="T6" s="36">
        <v>3914792.307692308</v>
      </c>
      <c r="U6" s="36">
        <v>3914792.307692308</v>
      </c>
      <c r="V6" s="37">
        <v>3914792.307692308</v>
      </c>
      <c r="W6" s="5"/>
      <c r="X6" s="17"/>
    </row>
    <row r="7" spans="1:24" s="18" customFormat="1" ht="14.25">
      <c r="A7" s="38" t="s">
        <v>15</v>
      </c>
      <c r="B7" s="35" t="s">
        <v>1</v>
      </c>
      <c r="C7" s="36">
        <v>223592.72727272726</v>
      </c>
      <c r="D7" s="36">
        <v>1054080</v>
      </c>
      <c r="E7" s="36">
        <v>2036290.9090909092</v>
      </c>
      <c r="F7" s="36">
        <v>4535738.1818181816</v>
      </c>
      <c r="G7" s="36">
        <v>5669672.7272727275</v>
      </c>
      <c r="H7" s="36">
        <v>5669672.7272727275</v>
      </c>
      <c r="I7" s="36">
        <v>5669672.7272727275</v>
      </c>
      <c r="J7" s="36">
        <v>5669672.7272727275</v>
      </c>
      <c r="K7" s="36">
        <v>5669672.7272727275</v>
      </c>
      <c r="L7" s="36">
        <v>5669672.7272727275</v>
      </c>
      <c r="M7" s="36">
        <v>5669672.7272727275</v>
      </c>
      <c r="N7" s="36">
        <v>5669672.7272727275</v>
      </c>
      <c r="O7" s="36">
        <v>5669672.7272727275</v>
      </c>
      <c r="P7" s="36">
        <v>5669672.7272727275</v>
      </c>
      <c r="Q7" s="36">
        <v>5669672.7272727275</v>
      </c>
      <c r="R7" s="36">
        <v>5669672.7272727275</v>
      </c>
      <c r="S7" s="36">
        <v>5669672.7272727275</v>
      </c>
      <c r="T7" s="36">
        <v>5669672.7272727275</v>
      </c>
      <c r="U7" s="36">
        <v>5669672.7272727275</v>
      </c>
      <c r="V7" s="37">
        <v>5669672.7272727275</v>
      </c>
      <c r="W7" s="5"/>
      <c r="X7" s="17"/>
    </row>
    <row r="8" spans="1:24" s="18" customFormat="1" ht="14.25">
      <c r="A8" s="39" t="s">
        <v>16</v>
      </c>
      <c r="B8" s="40" t="s">
        <v>1</v>
      </c>
      <c r="C8" s="36">
        <v>162166.15384615384</v>
      </c>
      <c r="D8" s="36">
        <v>1608147.6923076925</v>
      </c>
      <c r="E8" s="36">
        <v>3375083.0769230775</v>
      </c>
      <c r="F8" s="36">
        <v>5783926.153846154</v>
      </c>
      <c r="G8" s="36">
        <v>7229907.692307693</v>
      </c>
      <c r="H8" s="36">
        <v>7229907.692307693</v>
      </c>
      <c r="I8" s="36">
        <v>7229907.692307693</v>
      </c>
      <c r="J8" s="36">
        <v>7229907.692307693</v>
      </c>
      <c r="K8" s="36">
        <v>7229907.692307693</v>
      </c>
      <c r="L8" s="36">
        <v>7229907.692307693</v>
      </c>
      <c r="M8" s="36">
        <v>7229907.692307693</v>
      </c>
      <c r="N8" s="36">
        <v>7229907.692307693</v>
      </c>
      <c r="O8" s="36">
        <v>7229907.692307693</v>
      </c>
      <c r="P8" s="36">
        <v>7229907.692307693</v>
      </c>
      <c r="Q8" s="36">
        <v>7229907.692307693</v>
      </c>
      <c r="R8" s="36">
        <v>7229907.692307693</v>
      </c>
      <c r="S8" s="36">
        <v>7229907.692307693</v>
      </c>
      <c r="T8" s="36">
        <v>7229907.692307693</v>
      </c>
      <c r="U8" s="36">
        <v>7229907.692307693</v>
      </c>
      <c r="V8" s="37">
        <v>7229907.692307693</v>
      </c>
      <c r="W8" s="5"/>
      <c r="X8" s="17"/>
    </row>
    <row r="9" spans="1:24" s="18" customFormat="1" ht="14.25">
      <c r="A9" s="39" t="s">
        <v>17</v>
      </c>
      <c r="B9" s="40" t="s">
        <v>1</v>
      </c>
      <c r="C9" s="36">
        <v>1717525.3846153847</v>
      </c>
      <c r="D9" s="36">
        <v>4055843.0769230761</v>
      </c>
      <c r="E9" s="36">
        <v>7014953.0769230751</v>
      </c>
      <c r="F9" s="36">
        <v>11836440.000000002</v>
      </c>
      <c r="G9" s="36">
        <v>14795550.000000002</v>
      </c>
      <c r="H9" s="36">
        <v>14795550.000000002</v>
      </c>
      <c r="I9" s="36">
        <v>14795550.000000002</v>
      </c>
      <c r="J9" s="36">
        <v>14795550.000000002</v>
      </c>
      <c r="K9" s="36">
        <v>14795550.000000002</v>
      </c>
      <c r="L9" s="36">
        <v>14795550.000000002</v>
      </c>
      <c r="M9" s="36">
        <v>14795550.000000002</v>
      </c>
      <c r="N9" s="36">
        <v>14795550.000000002</v>
      </c>
      <c r="O9" s="36">
        <v>14795550.000000002</v>
      </c>
      <c r="P9" s="36">
        <v>14795550.000000002</v>
      </c>
      <c r="Q9" s="36">
        <v>14795550.000000002</v>
      </c>
      <c r="R9" s="36">
        <v>14795550.000000002</v>
      </c>
      <c r="S9" s="36">
        <v>14795550.000000002</v>
      </c>
      <c r="T9" s="36">
        <v>14795550.000000002</v>
      </c>
      <c r="U9" s="36">
        <v>14795550.000000002</v>
      </c>
      <c r="V9" s="37">
        <v>14795550.000000002</v>
      </c>
      <c r="W9" s="5"/>
      <c r="X9" s="17"/>
    </row>
    <row r="10" spans="1:24" s="18" customFormat="1" thickBot="1">
      <c r="A10" s="41" t="s">
        <v>34</v>
      </c>
      <c r="B10" s="42" t="s">
        <v>1</v>
      </c>
      <c r="C10" s="36">
        <v>317889.2574</v>
      </c>
      <c r="D10" s="36">
        <v>635778.5148</v>
      </c>
      <c r="E10" s="36">
        <v>953667.77220000001</v>
      </c>
      <c r="F10" s="36">
        <v>1271557.0296</v>
      </c>
      <c r="G10" s="36">
        <v>1589446.287</v>
      </c>
      <c r="H10" s="36">
        <v>1589446.287</v>
      </c>
      <c r="I10" s="36">
        <v>1589446.287</v>
      </c>
      <c r="J10" s="36">
        <v>1589446.287</v>
      </c>
      <c r="K10" s="36">
        <v>1589446.287</v>
      </c>
      <c r="L10" s="36">
        <v>1589446.287</v>
      </c>
      <c r="M10" s="36">
        <v>1589446.287</v>
      </c>
      <c r="N10" s="36">
        <v>1589446.287</v>
      </c>
      <c r="O10" s="36">
        <v>1589446.287</v>
      </c>
      <c r="P10" s="36">
        <v>1589446.287</v>
      </c>
      <c r="Q10" s="36">
        <v>1589446.287</v>
      </c>
      <c r="R10" s="36">
        <v>1589446.287</v>
      </c>
      <c r="S10" s="36">
        <v>1589446.287</v>
      </c>
      <c r="T10" s="36">
        <v>1589446.287</v>
      </c>
      <c r="U10" s="36">
        <v>1589446.287</v>
      </c>
      <c r="V10" s="37">
        <v>1589446.287</v>
      </c>
      <c r="W10" s="5"/>
      <c r="X10" s="17"/>
    </row>
    <row r="11" spans="1:24" s="48" customFormat="1" thickBot="1">
      <c r="A11" s="43" t="s">
        <v>19</v>
      </c>
      <c r="B11" s="44" t="s">
        <v>1</v>
      </c>
      <c r="C11" s="45">
        <v>3190471.2488867743</v>
      </c>
      <c r="D11" s="45">
        <v>10068810.354264881</v>
      </c>
      <c r="E11" s="45">
        <v>18656013.363565154</v>
      </c>
      <c r="F11" s="45">
        <v>33136037.820113838</v>
      </c>
      <c r="G11" s="45">
        <v>41420047.275142297</v>
      </c>
      <c r="H11" s="45">
        <v>41420047.275142297</v>
      </c>
      <c r="I11" s="45">
        <v>41420047.275142297</v>
      </c>
      <c r="J11" s="45">
        <v>41420047.275142297</v>
      </c>
      <c r="K11" s="45">
        <v>41420047.275142297</v>
      </c>
      <c r="L11" s="45">
        <v>41420047.275142297</v>
      </c>
      <c r="M11" s="45">
        <v>41420047.275142297</v>
      </c>
      <c r="N11" s="45">
        <v>41420047.275142297</v>
      </c>
      <c r="O11" s="45">
        <v>41420047.275142297</v>
      </c>
      <c r="P11" s="45">
        <v>41420047.275142297</v>
      </c>
      <c r="Q11" s="45">
        <v>41420047.275142297</v>
      </c>
      <c r="R11" s="45">
        <v>41420047.275142297</v>
      </c>
      <c r="S11" s="45">
        <v>41420047.275142297</v>
      </c>
      <c r="T11" s="45">
        <v>41420047.275142297</v>
      </c>
      <c r="U11" s="45">
        <v>41420047.275142297</v>
      </c>
      <c r="V11" s="46">
        <v>41420047.275142297</v>
      </c>
      <c r="W11" s="14"/>
      <c r="X11" s="47"/>
    </row>
    <row r="12" spans="1:24" s="18" customFormat="1" ht="14.25">
      <c r="A12" s="49" t="s">
        <v>3</v>
      </c>
      <c r="B12" s="50"/>
      <c r="C12" s="36"/>
      <c r="D12" s="36"/>
      <c r="E12" s="36"/>
      <c r="F12" s="36"/>
      <c r="G12" s="36"/>
      <c r="H12" s="36"/>
      <c r="I12" s="36"/>
      <c r="J12" s="36"/>
      <c r="K12" s="36"/>
      <c r="L12" s="36"/>
      <c r="M12" s="36"/>
      <c r="N12" s="36"/>
      <c r="O12" s="36"/>
      <c r="P12" s="36"/>
      <c r="Q12" s="36"/>
      <c r="R12" s="36"/>
      <c r="S12" s="36"/>
      <c r="T12" s="36"/>
      <c r="U12" s="36"/>
      <c r="V12" s="37"/>
      <c r="W12" s="5"/>
      <c r="X12" s="17"/>
    </row>
    <row r="13" spans="1:24" s="18" customFormat="1" ht="14.25">
      <c r="A13" s="41" t="s">
        <v>35</v>
      </c>
      <c r="B13" s="35" t="s">
        <v>1</v>
      </c>
      <c r="C13" s="36">
        <v>1240200</v>
      </c>
      <c r="D13" s="36">
        <v>1240200</v>
      </c>
      <c r="E13" s="36">
        <v>1240200</v>
      </c>
      <c r="F13" s="36">
        <v>1240200</v>
      </c>
      <c r="G13" s="36">
        <v>1240200</v>
      </c>
      <c r="H13" s="36"/>
      <c r="I13" s="36"/>
      <c r="J13" s="36"/>
      <c r="K13" s="36"/>
      <c r="L13" s="36"/>
      <c r="M13" s="36"/>
      <c r="N13" s="36"/>
      <c r="O13" s="36"/>
      <c r="P13" s="36"/>
      <c r="Q13" s="36"/>
      <c r="R13" s="36"/>
      <c r="S13" s="36"/>
      <c r="T13" s="36"/>
      <c r="U13" s="36"/>
      <c r="V13" s="37"/>
      <c r="W13" s="5"/>
      <c r="X13" s="17"/>
    </row>
    <row r="14" spans="1:24" s="18" customFormat="1" ht="14.25">
      <c r="A14" s="51" t="s">
        <v>13</v>
      </c>
      <c r="B14" s="35" t="s">
        <v>1</v>
      </c>
      <c r="C14" s="36">
        <v>1273448.4449359523</v>
      </c>
      <c r="D14" s="36">
        <v>2546896.8898719046</v>
      </c>
      <c r="E14" s="36">
        <v>3820345.3348078569</v>
      </c>
      <c r="F14" s="36">
        <v>5093793.7797438093</v>
      </c>
      <c r="G14" s="36">
        <v>6367242.2246797616</v>
      </c>
      <c r="H14" s="36">
        <v>6367242.2246797616</v>
      </c>
      <c r="I14" s="36">
        <v>6367242.2246797616</v>
      </c>
      <c r="J14" s="36">
        <v>6367242.2246797616</v>
      </c>
      <c r="K14" s="36">
        <v>6367242.2246797616</v>
      </c>
      <c r="L14" s="36">
        <v>6367242.2246797616</v>
      </c>
      <c r="M14" s="36">
        <v>6367242.2246797616</v>
      </c>
      <c r="N14" s="36">
        <v>6367242.2246797616</v>
      </c>
      <c r="O14" s="36">
        <v>6367242.2246797616</v>
      </c>
      <c r="P14" s="36">
        <v>6367242.2246797616</v>
      </c>
      <c r="Q14" s="36">
        <v>6367242.2246797616</v>
      </c>
      <c r="R14" s="36">
        <v>6367242.2246797616</v>
      </c>
      <c r="S14" s="36">
        <v>6367242.2246797616</v>
      </c>
      <c r="T14" s="36">
        <v>6367242.2246797616</v>
      </c>
      <c r="U14" s="36">
        <v>6367242.2246797616</v>
      </c>
      <c r="V14" s="37">
        <v>6367242.2246797616</v>
      </c>
      <c r="W14" s="5"/>
      <c r="X14" s="17"/>
    </row>
    <row r="15" spans="1:24" s="48" customFormat="1" ht="14.25">
      <c r="A15" s="38" t="s">
        <v>14</v>
      </c>
      <c r="B15" s="35" t="s">
        <v>1</v>
      </c>
      <c r="C15" s="36">
        <v>585720.00325053209</v>
      </c>
      <c r="D15" s="36">
        <v>1171440.0065010642</v>
      </c>
      <c r="E15" s="36">
        <v>1757160.0097515963</v>
      </c>
      <c r="F15" s="36">
        <v>2342880.0130021283</v>
      </c>
      <c r="G15" s="36">
        <v>2928600.0162526607</v>
      </c>
      <c r="H15" s="36">
        <v>2928600.0162526607</v>
      </c>
      <c r="I15" s="36">
        <v>2928600.0162526607</v>
      </c>
      <c r="J15" s="36">
        <v>2928600.0162526607</v>
      </c>
      <c r="K15" s="36">
        <v>2928600.0162526607</v>
      </c>
      <c r="L15" s="36">
        <v>2928600.0162526607</v>
      </c>
      <c r="M15" s="36">
        <v>2928600.0162526607</v>
      </c>
      <c r="N15" s="36">
        <v>2928600.0162526607</v>
      </c>
      <c r="O15" s="36">
        <v>2928600.0162526607</v>
      </c>
      <c r="P15" s="36">
        <v>2928600.0162526607</v>
      </c>
      <c r="Q15" s="36">
        <v>2928600.0162526607</v>
      </c>
      <c r="R15" s="36">
        <v>2928600.0162526607</v>
      </c>
      <c r="S15" s="36">
        <v>2928600.0162526607</v>
      </c>
      <c r="T15" s="36">
        <v>2928600.0162526607</v>
      </c>
      <c r="U15" s="36">
        <v>2928600.0162526607</v>
      </c>
      <c r="V15" s="37">
        <v>2928600.0162526607</v>
      </c>
      <c r="W15" s="5"/>
      <c r="X15" s="47"/>
    </row>
    <row r="16" spans="1:24" s="48" customFormat="1" ht="14.25">
      <c r="A16" s="38" t="s">
        <v>15</v>
      </c>
      <c r="B16" s="35" t="s">
        <v>1</v>
      </c>
      <c r="C16" s="36">
        <v>767540.58977438789</v>
      </c>
      <c r="D16" s="36">
        <v>1535081.1795487758</v>
      </c>
      <c r="E16" s="36">
        <v>2302621.7693231637</v>
      </c>
      <c r="F16" s="36">
        <v>3070162.3590975516</v>
      </c>
      <c r="G16" s="36">
        <v>3837702.9488719394</v>
      </c>
      <c r="H16" s="36">
        <v>3837702.9488719394</v>
      </c>
      <c r="I16" s="36">
        <v>3837702.9488719394</v>
      </c>
      <c r="J16" s="36">
        <v>3837702.9488719394</v>
      </c>
      <c r="K16" s="36">
        <v>3837702.9488719394</v>
      </c>
      <c r="L16" s="36">
        <v>3837702.9488719394</v>
      </c>
      <c r="M16" s="36">
        <v>3837702.9488719394</v>
      </c>
      <c r="N16" s="36">
        <v>3837702.9488719394</v>
      </c>
      <c r="O16" s="36">
        <v>3837702.9488719394</v>
      </c>
      <c r="P16" s="36">
        <v>3837702.9488719394</v>
      </c>
      <c r="Q16" s="36">
        <v>3837702.9488719394</v>
      </c>
      <c r="R16" s="36">
        <v>3837702.9488719394</v>
      </c>
      <c r="S16" s="36">
        <v>3837702.9488719394</v>
      </c>
      <c r="T16" s="36">
        <v>3837702.9488719394</v>
      </c>
      <c r="U16" s="36">
        <v>3837702.9488719394</v>
      </c>
      <c r="V16" s="37">
        <v>3837702.9488719394</v>
      </c>
      <c r="W16" s="5"/>
      <c r="X16" s="47"/>
    </row>
    <row r="17" spans="1:24" s="48" customFormat="1" ht="14.25">
      <c r="A17" s="39" t="s">
        <v>16</v>
      </c>
      <c r="B17" s="40" t="s">
        <v>1</v>
      </c>
      <c r="C17" s="36">
        <v>1101869.4677201514</v>
      </c>
      <c r="D17" s="36">
        <v>2203738.9354403028</v>
      </c>
      <c r="E17" s="36">
        <v>3305608.4031604538</v>
      </c>
      <c r="F17" s="36">
        <v>4407477.8708806057</v>
      </c>
      <c r="G17" s="36">
        <v>5509347.3386007575</v>
      </c>
      <c r="H17" s="36">
        <v>5509347.3386007575</v>
      </c>
      <c r="I17" s="36">
        <v>5509347.3386007575</v>
      </c>
      <c r="J17" s="36">
        <v>5509347.3386007575</v>
      </c>
      <c r="K17" s="36">
        <v>5509347.3386007575</v>
      </c>
      <c r="L17" s="36">
        <v>5509347.3386007575</v>
      </c>
      <c r="M17" s="36">
        <v>5509347.3386007575</v>
      </c>
      <c r="N17" s="36">
        <v>5509347.3386007575</v>
      </c>
      <c r="O17" s="36">
        <v>5509347.3386007575</v>
      </c>
      <c r="P17" s="36">
        <v>5509347.3386007575</v>
      </c>
      <c r="Q17" s="36">
        <v>5509347.3386007575</v>
      </c>
      <c r="R17" s="36">
        <v>5509347.3386007575</v>
      </c>
      <c r="S17" s="36">
        <v>5509347.3386007575</v>
      </c>
      <c r="T17" s="36">
        <v>5509347.3386007575</v>
      </c>
      <c r="U17" s="36">
        <v>5509347.3386007575</v>
      </c>
      <c r="V17" s="37">
        <v>5509347.3386007575</v>
      </c>
      <c r="W17" s="5"/>
      <c r="X17" s="47"/>
    </row>
    <row r="18" spans="1:24" s="18" customFormat="1" thickBot="1">
      <c r="A18" s="39" t="s">
        <v>17</v>
      </c>
      <c r="B18" s="40" t="s">
        <v>1</v>
      </c>
      <c r="C18" s="36">
        <v>2676707.8483576151</v>
      </c>
      <c r="D18" s="36">
        <v>5353415.6967152301</v>
      </c>
      <c r="E18" s="36">
        <v>8030123.5450728461</v>
      </c>
      <c r="F18" s="36">
        <v>10706831.39343046</v>
      </c>
      <c r="G18" s="36">
        <v>13383539.241788076</v>
      </c>
      <c r="H18" s="36">
        <v>13383539.241788076</v>
      </c>
      <c r="I18" s="36">
        <v>13383539.241788076</v>
      </c>
      <c r="J18" s="36">
        <v>13383539.241788076</v>
      </c>
      <c r="K18" s="36">
        <v>13383539.241788076</v>
      </c>
      <c r="L18" s="36">
        <v>13383539.241788076</v>
      </c>
      <c r="M18" s="36">
        <v>13383539.241788076</v>
      </c>
      <c r="N18" s="36">
        <v>13383539.241788076</v>
      </c>
      <c r="O18" s="36">
        <v>13383539.241788076</v>
      </c>
      <c r="P18" s="36">
        <v>13383539.241788076</v>
      </c>
      <c r="Q18" s="36">
        <v>13383539.241788076</v>
      </c>
      <c r="R18" s="36">
        <v>13383539.241788076</v>
      </c>
      <c r="S18" s="36">
        <v>13383539.241788076</v>
      </c>
      <c r="T18" s="36">
        <v>13383539.241788076</v>
      </c>
      <c r="U18" s="36">
        <v>13383539.241788076</v>
      </c>
      <c r="V18" s="37">
        <v>13383539.241788076</v>
      </c>
      <c r="W18" s="5"/>
      <c r="X18" s="17"/>
    </row>
    <row r="19" spans="1:24" s="48" customFormat="1" thickBot="1">
      <c r="A19" s="52" t="s">
        <v>21</v>
      </c>
      <c r="B19" s="44" t="s">
        <v>1</v>
      </c>
      <c r="C19" s="45">
        <v>7645486.3540386381</v>
      </c>
      <c r="D19" s="45">
        <v>14050772.708077276</v>
      </c>
      <c r="E19" s="45">
        <v>20456059.062115915</v>
      </c>
      <c r="F19" s="45">
        <v>26861345.416154556</v>
      </c>
      <c r="G19" s="45">
        <v>33266631.770193197</v>
      </c>
      <c r="H19" s="45">
        <v>32026431.770193197</v>
      </c>
      <c r="I19" s="45">
        <v>32026431.770193197</v>
      </c>
      <c r="J19" s="45">
        <v>32026431.770193197</v>
      </c>
      <c r="K19" s="45">
        <v>32026431.770193197</v>
      </c>
      <c r="L19" s="45">
        <v>32026431.770193197</v>
      </c>
      <c r="M19" s="45">
        <v>32026431.770193197</v>
      </c>
      <c r="N19" s="45">
        <v>32026431.770193197</v>
      </c>
      <c r="O19" s="45">
        <v>32026431.770193197</v>
      </c>
      <c r="P19" s="45">
        <v>32026431.770193197</v>
      </c>
      <c r="Q19" s="45">
        <v>32026431.770193197</v>
      </c>
      <c r="R19" s="45">
        <v>32026431.770193197</v>
      </c>
      <c r="S19" s="45">
        <v>32026431.770193197</v>
      </c>
      <c r="T19" s="45">
        <v>32026431.770193197</v>
      </c>
      <c r="U19" s="45">
        <v>32026431.770193197</v>
      </c>
      <c r="V19" s="46">
        <v>32026431.770193197</v>
      </c>
      <c r="W19" s="14"/>
      <c r="X19" s="47"/>
    </row>
    <row r="20" spans="1:24" s="48" customFormat="1" ht="14.25">
      <c r="A20" s="53" t="s">
        <v>0</v>
      </c>
      <c r="B20" s="54" t="s">
        <v>1</v>
      </c>
      <c r="C20" s="45">
        <v>-4455015.1051518638</v>
      </c>
      <c r="D20" s="45">
        <v>-3981962.3538123947</v>
      </c>
      <c r="E20" s="45">
        <v>-1800045.6985507607</v>
      </c>
      <c r="F20" s="45">
        <v>6274692.4039592817</v>
      </c>
      <c r="G20" s="45">
        <v>8153415.5049491003</v>
      </c>
      <c r="H20" s="45">
        <v>9393615.5049491003</v>
      </c>
      <c r="I20" s="45">
        <v>9393615.5049491003</v>
      </c>
      <c r="J20" s="45">
        <v>9393615.5049491003</v>
      </c>
      <c r="K20" s="45">
        <v>9393615.5049491003</v>
      </c>
      <c r="L20" s="45">
        <v>9393615.5049491003</v>
      </c>
      <c r="M20" s="45">
        <v>9393615.5049491003</v>
      </c>
      <c r="N20" s="45">
        <v>9393615.5049491003</v>
      </c>
      <c r="O20" s="45">
        <v>9393615.5049491003</v>
      </c>
      <c r="P20" s="45">
        <v>9393615.5049491003</v>
      </c>
      <c r="Q20" s="45">
        <v>9393615.5049491003</v>
      </c>
      <c r="R20" s="45">
        <v>9393615.5049491003</v>
      </c>
      <c r="S20" s="45">
        <v>9393615.5049491003</v>
      </c>
      <c r="T20" s="45">
        <v>9393615.5049491003</v>
      </c>
      <c r="U20" s="45">
        <v>9393615.5049491003</v>
      </c>
      <c r="V20" s="46">
        <v>9393615.5049491003</v>
      </c>
      <c r="W20" s="14"/>
      <c r="X20" s="47"/>
    </row>
    <row r="21" spans="1:24" s="18" customFormat="1" ht="14.25">
      <c r="A21" s="55"/>
      <c r="B21" s="56"/>
      <c r="C21" s="36"/>
      <c r="D21" s="36"/>
      <c r="E21" s="36"/>
      <c r="F21" s="36"/>
      <c r="G21" s="36"/>
      <c r="H21" s="36"/>
      <c r="I21" s="36"/>
      <c r="J21" s="36"/>
      <c r="K21" s="36"/>
      <c r="L21" s="36"/>
      <c r="M21" s="36"/>
      <c r="N21" s="36"/>
      <c r="O21" s="36"/>
      <c r="P21" s="36"/>
      <c r="Q21" s="36"/>
      <c r="R21" s="36"/>
      <c r="S21" s="36"/>
      <c r="T21" s="36"/>
      <c r="U21" s="36"/>
      <c r="V21" s="37"/>
      <c r="W21" s="5"/>
      <c r="X21" s="17"/>
    </row>
    <row r="22" spans="1:24" s="18" customFormat="1" ht="14.25">
      <c r="A22" s="57" t="s">
        <v>36</v>
      </c>
      <c r="B22" s="54" t="s">
        <v>1</v>
      </c>
      <c r="C22" s="36">
        <v>99392.032825841117</v>
      </c>
      <c r="D22" s="36">
        <v>203632.45749684519</v>
      </c>
      <c r="E22" s="36">
        <v>312721.2740130123</v>
      </c>
      <c r="F22" s="36">
        <v>426658.48237434239</v>
      </c>
      <c r="G22" s="36">
        <v>545444.08258083544</v>
      </c>
      <c r="H22" s="36">
        <v>557565.06219374284</v>
      </c>
      <c r="I22" s="36">
        <v>569686.04180665035</v>
      </c>
      <c r="J22" s="36">
        <v>581807.02141955774</v>
      </c>
      <c r="K22" s="36">
        <v>593928.00103246525</v>
      </c>
      <c r="L22" s="36">
        <v>606048.98064537265</v>
      </c>
      <c r="M22" s="36">
        <v>618169.96025828016</v>
      </c>
      <c r="N22" s="36">
        <v>630290.93987118755</v>
      </c>
      <c r="O22" s="36">
        <v>642411.91948409507</v>
      </c>
      <c r="P22" s="36">
        <v>666653.87870990997</v>
      </c>
      <c r="Q22" s="36">
        <v>678774.85832281737</v>
      </c>
      <c r="R22" s="36">
        <v>690895.83793572476</v>
      </c>
      <c r="S22" s="36">
        <v>703016.81754863227</v>
      </c>
      <c r="T22" s="36">
        <v>727258.77677444718</v>
      </c>
      <c r="U22" s="36">
        <v>739379.75638735457</v>
      </c>
      <c r="V22" s="37">
        <v>763621.71561316948</v>
      </c>
      <c r="W22" s="5"/>
      <c r="X22" s="17"/>
    </row>
    <row r="23" spans="1:24" s="18" customFormat="1" ht="14.25">
      <c r="A23" s="57" t="s">
        <v>37</v>
      </c>
      <c r="B23" s="54" t="s">
        <v>1</v>
      </c>
      <c r="C23" s="36">
        <v>198784.06565168223</v>
      </c>
      <c r="D23" s="36">
        <v>407264.91499369039</v>
      </c>
      <c r="E23" s="36">
        <v>625442.5480260246</v>
      </c>
      <c r="F23" s="36">
        <v>843620.18105835887</v>
      </c>
      <c r="G23" s="36">
        <v>1078767.1855487635</v>
      </c>
      <c r="H23" s="36">
        <v>1103009.1447745783</v>
      </c>
      <c r="I23" s="36">
        <v>1139372.0836133007</v>
      </c>
      <c r="J23" s="36">
        <v>1163614.0428391155</v>
      </c>
      <c r="K23" s="36">
        <v>1187856.0020649305</v>
      </c>
      <c r="L23" s="36">
        <v>1212097.9612907453</v>
      </c>
      <c r="M23" s="36">
        <v>1236339.9205165603</v>
      </c>
      <c r="N23" s="36">
        <v>1272702.8593552825</v>
      </c>
      <c r="O23" s="36">
        <v>1296944.8185810975</v>
      </c>
      <c r="P23" s="36">
        <v>1321186.7778069123</v>
      </c>
      <c r="Q23" s="36">
        <v>1357549.7166456347</v>
      </c>
      <c r="R23" s="36">
        <v>1381791.6758714495</v>
      </c>
      <c r="S23" s="36">
        <v>1418154.6147101719</v>
      </c>
      <c r="T23" s="36">
        <v>1454517.5535488944</v>
      </c>
      <c r="U23" s="36">
        <v>1478759.5127747091</v>
      </c>
      <c r="V23" s="37">
        <v>1515122.4516134318</v>
      </c>
      <c r="W23" s="5"/>
      <c r="X23" s="17"/>
    </row>
    <row r="24" spans="1:24" s="18" customFormat="1" ht="14.25">
      <c r="A24" s="58"/>
      <c r="B24" s="54"/>
      <c r="C24" s="36"/>
      <c r="D24" s="36"/>
      <c r="E24" s="36"/>
      <c r="F24" s="36"/>
      <c r="G24" s="36"/>
      <c r="H24" s="36"/>
      <c r="I24" s="36"/>
      <c r="J24" s="36"/>
      <c r="K24" s="36"/>
      <c r="L24" s="36"/>
      <c r="M24" s="36"/>
      <c r="N24" s="36"/>
      <c r="O24" s="36"/>
      <c r="P24" s="36"/>
      <c r="Q24" s="36"/>
      <c r="R24" s="36"/>
      <c r="S24" s="36"/>
      <c r="T24" s="36"/>
      <c r="U24" s="36"/>
      <c r="V24" s="37"/>
      <c r="W24" s="5"/>
      <c r="X24" s="17"/>
    </row>
    <row r="25" spans="1:24" s="48" customFormat="1" ht="14.25">
      <c r="A25" s="59" t="s">
        <v>38</v>
      </c>
      <c r="B25" s="54"/>
      <c r="C25" s="45">
        <v>-4355623.0723260222</v>
      </c>
      <c r="D25" s="45">
        <v>-3778329.8963155495</v>
      </c>
      <c r="E25" s="45">
        <v>-1487324.4245377486</v>
      </c>
      <c r="F25" s="45">
        <v>6701350.8863336239</v>
      </c>
      <c r="G25" s="45">
        <v>8698859.5875299349</v>
      </c>
      <c r="H25" s="45">
        <v>9951180.5671428423</v>
      </c>
      <c r="I25" s="45">
        <v>9963301.5467557497</v>
      </c>
      <c r="J25" s="45">
        <v>9975422.526368659</v>
      </c>
      <c r="K25" s="45">
        <v>9987543.5059815664</v>
      </c>
      <c r="L25" s="45">
        <v>9999664.4855944738</v>
      </c>
      <c r="M25" s="45">
        <v>10011785.465207381</v>
      </c>
      <c r="N25" s="45">
        <v>10023906.444820289</v>
      </c>
      <c r="O25" s="45">
        <v>10036027.424433196</v>
      </c>
      <c r="P25" s="45">
        <v>10060269.383659011</v>
      </c>
      <c r="Q25" s="45">
        <v>10072390.363271918</v>
      </c>
      <c r="R25" s="45">
        <v>10084511.342884826</v>
      </c>
      <c r="S25" s="45">
        <v>10096632.322497733</v>
      </c>
      <c r="T25" s="45">
        <v>10120874.281723548</v>
      </c>
      <c r="U25" s="45">
        <v>10132995.261336455</v>
      </c>
      <c r="V25" s="46">
        <v>10157237.22056227</v>
      </c>
      <c r="W25" s="14"/>
      <c r="X25" s="47"/>
    </row>
    <row r="26" spans="1:24" s="48" customFormat="1" thickBot="1">
      <c r="A26" s="60" t="s">
        <v>39</v>
      </c>
      <c r="B26" s="61"/>
      <c r="C26" s="62">
        <v>-4256231.0395001816</v>
      </c>
      <c r="D26" s="62">
        <v>-3574697.4388187043</v>
      </c>
      <c r="E26" s="62">
        <v>-1174603.1505247361</v>
      </c>
      <c r="F26" s="62">
        <v>7118312.5850176401</v>
      </c>
      <c r="G26" s="62">
        <v>9232182.690497864</v>
      </c>
      <c r="H26" s="62">
        <v>10496624.649723679</v>
      </c>
      <c r="I26" s="62">
        <v>10532987.588562401</v>
      </c>
      <c r="J26" s="62">
        <v>10557229.547788216</v>
      </c>
      <c r="K26" s="62">
        <v>10581471.507014031</v>
      </c>
      <c r="L26" s="62">
        <v>10605713.466239845</v>
      </c>
      <c r="M26" s="62">
        <v>10629955.42546566</v>
      </c>
      <c r="N26" s="62">
        <v>10666318.364304382</v>
      </c>
      <c r="O26" s="62">
        <v>10690560.323530197</v>
      </c>
      <c r="P26" s="62">
        <v>10714802.282756012</v>
      </c>
      <c r="Q26" s="62">
        <v>10751165.221594736</v>
      </c>
      <c r="R26" s="62">
        <v>10775407.180820551</v>
      </c>
      <c r="S26" s="62">
        <v>10811770.119659273</v>
      </c>
      <c r="T26" s="62">
        <v>10848133.058497995</v>
      </c>
      <c r="U26" s="62">
        <v>10872375.01772381</v>
      </c>
      <c r="V26" s="63">
        <v>10908737.956562532</v>
      </c>
      <c r="W26" s="14"/>
      <c r="X26" s="47"/>
    </row>
    <row r="27" spans="1:24" s="18" customFormat="1" thickBot="1">
      <c r="A27" s="64"/>
      <c r="B27" s="22"/>
      <c r="C27" s="65"/>
      <c r="D27" s="65"/>
      <c r="E27" s="65"/>
      <c r="F27" s="65"/>
      <c r="G27" s="65"/>
      <c r="H27" s="65"/>
      <c r="I27" s="66"/>
      <c r="J27" s="66"/>
      <c r="K27" s="67"/>
      <c r="L27" s="67"/>
      <c r="M27" s="67"/>
      <c r="N27" s="67"/>
      <c r="O27" s="67"/>
      <c r="P27" s="67"/>
      <c r="Q27" s="67"/>
      <c r="R27" s="67"/>
      <c r="S27" s="67"/>
      <c r="T27" s="67"/>
      <c r="U27" s="67"/>
      <c r="V27" s="68"/>
      <c r="W27" s="69"/>
      <c r="X27" s="17"/>
    </row>
    <row r="28" spans="1:24" s="18" customFormat="1" ht="14.25">
      <c r="A28" s="134" t="s">
        <v>22</v>
      </c>
      <c r="B28" s="135"/>
      <c r="C28" s="70"/>
      <c r="D28" s="71"/>
      <c r="E28" s="71"/>
      <c r="F28" s="71"/>
      <c r="G28" s="71"/>
      <c r="H28" s="71"/>
      <c r="I28" s="72"/>
      <c r="J28" s="72"/>
      <c r="K28" s="66"/>
      <c r="L28" s="66"/>
      <c r="M28" s="66"/>
      <c r="N28" s="66"/>
      <c r="O28" s="66"/>
      <c r="P28" s="66"/>
      <c r="Q28" s="66"/>
      <c r="R28" s="66"/>
      <c r="S28" s="66"/>
      <c r="T28" s="66"/>
      <c r="U28" s="66"/>
      <c r="V28" s="73"/>
      <c r="W28" s="74"/>
      <c r="X28" s="17"/>
    </row>
    <row r="29" spans="1:24" s="18" customFormat="1" ht="14.25">
      <c r="A29" s="53" t="s">
        <v>10</v>
      </c>
      <c r="B29" s="75">
        <v>0.06</v>
      </c>
      <c r="C29" s="70"/>
      <c r="D29" s="71"/>
      <c r="E29" s="71"/>
      <c r="F29" s="71"/>
      <c r="G29" s="71"/>
      <c r="H29" s="71"/>
      <c r="I29" s="72"/>
      <c r="J29" s="72"/>
      <c r="K29" s="72"/>
      <c r="L29" s="72"/>
      <c r="M29" s="72"/>
      <c r="N29" s="72"/>
      <c r="O29" s="72"/>
      <c r="P29" s="72"/>
      <c r="Q29" s="72"/>
      <c r="R29" s="72"/>
      <c r="S29" s="72"/>
      <c r="T29" s="72"/>
      <c r="U29" s="72"/>
      <c r="V29" s="76"/>
      <c r="W29" s="74"/>
      <c r="X29" s="17"/>
    </row>
    <row r="30" spans="1:24" s="18" customFormat="1" thickBot="1">
      <c r="A30" s="136" t="s">
        <v>23</v>
      </c>
      <c r="B30" s="137"/>
      <c r="C30" s="77"/>
      <c r="D30" s="72"/>
      <c r="E30" s="72"/>
      <c r="F30" s="72"/>
      <c r="G30" s="72"/>
      <c r="H30" s="72"/>
      <c r="I30" s="72"/>
      <c r="J30" s="72"/>
      <c r="K30" s="72"/>
      <c r="L30" s="72"/>
      <c r="M30" s="72"/>
      <c r="N30" s="72"/>
      <c r="O30" s="72"/>
      <c r="P30" s="72"/>
      <c r="Q30" s="72"/>
      <c r="R30" s="72"/>
      <c r="S30" s="72"/>
      <c r="T30" s="72"/>
      <c r="U30" s="72"/>
      <c r="V30" s="76"/>
      <c r="W30" s="74"/>
      <c r="X30" s="17"/>
    </row>
    <row r="31" spans="1:24" s="18" customFormat="1" thickBot="1">
      <c r="A31" s="78" t="s">
        <v>7</v>
      </c>
      <c r="B31" s="79">
        <v>69979424.658644155</v>
      </c>
      <c r="C31" s="80" t="s">
        <v>1</v>
      </c>
      <c r="D31" s="80"/>
      <c r="E31" s="80"/>
      <c r="F31" s="80"/>
      <c r="G31" s="80"/>
      <c r="H31" s="80"/>
      <c r="I31" s="80"/>
      <c r="J31" s="80"/>
      <c r="K31" s="72"/>
      <c r="L31" s="72"/>
      <c r="M31" s="72"/>
      <c r="N31" s="72"/>
      <c r="O31" s="72"/>
      <c r="P31" s="72"/>
      <c r="Q31" s="72"/>
      <c r="R31" s="72"/>
      <c r="S31" s="72"/>
      <c r="T31" s="72"/>
      <c r="U31" s="72"/>
      <c r="V31" s="76"/>
      <c r="W31" s="74"/>
      <c r="X31" s="17"/>
    </row>
    <row r="32" spans="1:24" s="18" customFormat="1" thickBot="1">
      <c r="A32" s="78" t="s">
        <v>8</v>
      </c>
      <c r="B32" s="81">
        <v>0.46968080316690003</v>
      </c>
      <c r="C32" s="82" t="s">
        <v>24</v>
      </c>
      <c r="D32" s="82"/>
      <c r="E32" s="82"/>
      <c r="F32" s="82"/>
      <c r="G32" s="82"/>
      <c r="H32" s="82"/>
      <c r="I32" s="82"/>
      <c r="J32" s="82"/>
      <c r="K32" s="72"/>
      <c r="L32" s="72"/>
      <c r="M32" s="72"/>
      <c r="N32" s="72"/>
      <c r="O32" s="72"/>
      <c r="P32" s="72"/>
      <c r="Q32" s="72"/>
      <c r="R32" s="72"/>
      <c r="S32" s="72"/>
      <c r="T32" s="72"/>
      <c r="U32" s="72"/>
      <c r="V32" s="76"/>
      <c r="W32" s="74"/>
      <c r="X32" s="17"/>
    </row>
    <row r="33" spans="1:24" s="18" customFormat="1" thickBot="1">
      <c r="A33" s="78" t="s">
        <v>9</v>
      </c>
      <c r="B33" s="81">
        <v>0.18680661909329155</v>
      </c>
      <c r="C33" s="80" t="s">
        <v>24</v>
      </c>
      <c r="D33" s="80"/>
      <c r="E33" s="80"/>
      <c r="F33" s="80"/>
      <c r="G33" s="80"/>
      <c r="H33" s="80"/>
      <c r="I33" s="80"/>
      <c r="J33" s="80"/>
      <c r="K33" s="72"/>
      <c r="L33" s="72"/>
      <c r="M33" s="72"/>
      <c r="N33" s="72"/>
      <c r="O33" s="72"/>
      <c r="P33" s="72"/>
      <c r="Q33" s="72"/>
      <c r="R33" s="72"/>
      <c r="S33" s="72"/>
      <c r="T33" s="72"/>
      <c r="U33" s="72"/>
      <c r="V33" s="76"/>
      <c r="W33" s="74"/>
      <c r="X33" s="17"/>
    </row>
    <row r="34" spans="1:24" s="18" customFormat="1" thickBot="1">
      <c r="A34" s="83" t="s">
        <v>25</v>
      </c>
      <c r="B34" s="84">
        <v>1.2490151046550144</v>
      </c>
      <c r="C34" s="85"/>
      <c r="D34" s="86"/>
      <c r="E34" s="85"/>
      <c r="F34" s="85"/>
      <c r="G34" s="85"/>
      <c r="H34" s="85"/>
      <c r="I34" s="85"/>
      <c r="J34" s="85"/>
      <c r="K34" s="72"/>
      <c r="L34" s="72"/>
      <c r="M34" s="72"/>
      <c r="N34" s="72"/>
      <c r="O34" s="72"/>
      <c r="P34" s="72"/>
      <c r="Q34" s="72"/>
      <c r="R34" s="72"/>
      <c r="S34" s="72"/>
      <c r="T34" s="72"/>
      <c r="U34" s="72"/>
      <c r="V34" s="76"/>
      <c r="W34" s="74"/>
      <c r="X34" s="17"/>
    </row>
    <row r="35" spans="1:24" s="18" customFormat="1" thickBot="1">
      <c r="A35" s="87"/>
      <c r="B35" s="88"/>
      <c r="D35" s="89"/>
      <c r="V35" s="90"/>
      <c r="W35" s="91"/>
      <c r="X35" s="17"/>
    </row>
    <row r="36" spans="1:24" s="18" customFormat="1" thickBot="1">
      <c r="A36" s="138" t="s">
        <v>40</v>
      </c>
      <c r="B36" s="139"/>
      <c r="C36" s="71"/>
      <c r="D36" s="92"/>
      <c r="E36" s="71"/>
      <c r="F36" s="71"/>
      <c r="G36" s="71"/>
      <c r="H36" s="71"/>
      <c r="I36" s="72"/>
      <c r="J36" s="72"/>
      <c r="K36" s="66"/>
      <c r="L36" s="66"/>
      <c r="M36" s="66"/>
      <c r="N36" s="66"/>
      <c r="O36" s="66"/>
      <c r="P36" s="66"/>
      <c r="Q36" s="66"/>
      <c r="R36" s="66"/>
      <c r="S36" s="66"/>
      <c r="T36" s="66"/>
      <c r="U36" s="66"/>
      <c r="V36" s="73"/>
      <c r="W36" s="74"/>
      <c r="X36" s="17"/>
    </row>
    <row r="37" spans="1:24" s="18" customFormat="1" thickBot="1">
      <c r="A37" s="93" t="s">
        <v>10</v>
      </c>
      <c r="B37" s="94">
        <v>0.06</v>
      </c>
      <c r="C37" s="71"/>
      <c r="D37" s="71"/>
      <c r="E37" s="71"/>
      <c r="F37" s="71"/>
      <c r="G37" s="71"/>
      <c r="H37" s="71"/>
      <c r="I37" s="72"/>
      <c r="J37" s="72"/>
      <c r="K37" s="72"/>
      <c r="L37" s="72"/>
      <c r="M37" s="72"/>
      <c r="N37" s="72"/>
      <c r="O37" s="72"/>
      <c r="P37" s="72"/>
      <c r="Q37" s="72"/>
      <c r="R37" s="72"/>
      <c r="S37" s="72"/>
      <c r="T37" s="72"/>
      <c r="U37" s="72"/>
      <c r="V37" s="76"/>
      <c r="W37" s="74"/>
      <c r="X37" s="17"/>
    </row>
    <row r="38" spans="1:24" s="18" customFormat="1" thickBot="1">
      <c r="A38" s="140" t="s">
        <v>23</v>
      </c>
      <c r="B38" s="141"/>
      <c r="C38" s="72"/>
      <c r="D38" s="72"/>
      <c r="E38" s="72"/>
      <c r="F38" s="72"/>
      <c r="G38" s="72"/>
      <c r="H38" s="72"/>
      <c r="I38" s="72"/>
      <c r="J38" s="72"/>
      <c r="K38" s="72"/>
      <c r="L38" s="72"/>
      <c r="M38" s="72"/>
      <c r="N38" s="72"/>
      <c r="O38" s="72"/>
      <c r="P38" s="72"/>
      <c r="Q38" s="72"/>
      <c r="R38" s="72"/>
      <c r="S38" s="72"/>
      <c r="T38" s="72"/>
      <c r="U38" s="72"/>
      <c r="V38" s="76"/>
      <c r="W38" s="74"/>
      <c r="X38" s="17"/>
    </row>
    <row r="39" spans="1:24" s="18" customFormat="1" thickBot="1">
      <c r="A39" s="13" t="s">
        <v>7</v>
      </c>
      <c r="B39" s="95">
        <v>75877926.502506971</v>
      </c>
      <c r="C39" s="80" t="s">
        <v>1</v>
      </c>
      <c r="D39" s="80"/>
      <c r="E39" s="80"/>
      <c r="F39" s="80"/>
      <c r="G39" s="80"/>
      <c r="H39" s="80"/>
      <c r="I39" s="80"/>
      <c r="J39" s="80"/>
      <c r="K39" s="72"/>
      <c r="L39" s="72"/>
      <c r="M39" s="72"/>
      <c r="N39" s="72"/>
      <c r="O39" s="72"/>
      <c r="P39" s="72"/>
      <c r="Q39" s="72"/>
      <c r="R39" s="72"/>
      <c r="S39" s="72"/>
      <c r="T39" s="72"/>
      <c r="U39" s="72"/>
      <c r="V39" s="76"/>
      <c r="W39" s="74"/>
      <c r="X39" s="17"/>
    </row>
    <row r="40" spans="1:24" s="18" customFormat="1" thickBot="1">
      <c r="A40" s="51" t="s">
        <v>8</v>
      </c>
      <c r="B40" s="96">
        <v>0.5041779293846419</v>
      </c>
      <c r="C40" s="82" t="s">
        <v>24</v>
      </c>
      <c r="D40" s="82"/>
      <c r="E40" s="82"/>
      <c r="F40" s="82"/>
      <c r="G40" s="82"/>
      <c r="H40" s="82"/>
      <c r="I40" s="82"/>
      <c r="J40" s="82"/>
      <c r="K40" s="72"/>
      <c r="L40" s="72"/>
      <c r="M40" s="72"/>
      <c r="N40" s="72"/>
      <c r="O40" s="72"/>
      <c r="P40" s="72"/>
      <c r="Q40" s="72"/>
      <c r="R40" s="72"/>
      <c r="S40" s="72"/>
      <c r="T40" s="72"/>
      <c r="U40" s="72"/>
      <c r="V40" s="76"/>
      <c r="W40" s="74"/>
      <c r="X40" s="17"/>
    </row>
    <row r="41" spans="1:24" s="18" customFormat="1" thickBot="1">
      <c r="A41" s="83" t="s">
        <v>9</v>
      </c>
      <c r="B41" s="97">
        <v>0.19465816313561723</v>
      </c>
      <c r="C41" s="80" t="s">
        <v>24</v>
      </c>
      <c r="D41" s="80"/>
      <c r="E41" s="80"/>
      <c r="F41" s="80"/>
      <c r="G41" s="80"/>
      <c r="H41" s="80"/>
      <c r="I41" s="80"/>
      <c r="J41" s="80"/>
      <c r="K41" s="72"/>
      <c r="L41" s="72"/>
      <c r="M41" s="72"/>
      <c r="N41" s="72"/>
      <c r="O41" s="72"/>
      <c r="P41" s="72"/>
      <c r="Q41" s="72"/>
      <c r="R41" s="72"/>
      <c r="S41" s="72"/>
      <c r="T41" s="72"/>
      <c r="U41" s="72"/>
      <c r="V41" s="76"/>
      <c r="W41" s="74"/>
      <c r="X41" s="17"/>
    </row>
    <row r="42" spans="1:24" ht="15.75" thickBot="1"/>
    <row r="43" spans="1:24" s="18" customFormat="1" thickBot="1">
      <c r="A43" s="138" t="s">
        <v>41</v>
      </c>
      <c r="B43" s="139"/>
      <c r="C43" s="71"/>
      <c r="D43" s="71"/>
      <c r="E43" s="71"/>
      <c r="F43" s="71"/>
      <c r="G43" s="71"/>
      <c r="H43" s="71"/>
      <c r="I43" s="72"/>
      <c r="J43" s="72"/>
      <c r="K43" s="66"/>
      <c r="L43" s="66"/>
      <c r="M43" s="66"/>
      <c r="N43" s="66"/>
      <c r="O43" s="66"/>
      <c r="P43" s="66"/>
      <c r="Q43" s="66"/>
      <c r="R43" s="66"/>
      <c r="S43" s="66"/>
      <c r="T43" s="66"/>
      <c r="U43" s="66"/>
      <c r="V43" s="73"/>
      <c r="W43" s="74"/>
      <c r="X43" s="17"/>
    </row>
    <row r="44" spans="1:24" s="18" customFormat="1" thickBot="1">
      <c r="A44" s="93" t="s">
        <v>10</v>
      </c>
      <c r="B44" s="94">
        <v>0.06</v>
      </c>
      <c r="C44" s="71"/>
      <c r="D44" s="71"/>
      <c r="E44" s="71"/>
      <c r="F44" s="71"/>
      <c r="G44" s="71"/>
      <c r="H44" s="71"/>
      <c r="I44" s="72"/>
      <c r="J44" s="72"/>
      <c r="K44" s="72"/>
      <c r="L44" s="72"/>
      <c r="M44" s="72"/>
      <c r="N44" s="72"/>
      <c r="O44" s="72"/>
      <c r="P44" s="72"/>
      <c r="Q44" s="72"/>
      <c r="R44" s="72"/>
      <c r="S44" s="72"/>
      <c r="T44" s="72"/>
      <c r="U44" s="72"/>
      <c r="V44" s="76"/>
      <c r="W44" s="74"/>
      <c r="X44" s="17"/>
    </row>
    <row r="45" spans="1:24" s="18" customFormat="1" thickBot="1">
      <c r="A45" s="140" t="s">
        <v>23</v>
      </c>
      <c r="B45" s="141"/>
      <c r="C45" s="72"/>
      <c r="D45" s="72"/>
      <c r="E45" s="72"/>
      <c r="F45" s="72"/>
      <c r="G45" s="72"/>
      <c r="H45" s="72"/>
      <c r="I45" s="72"/>
      <c r="J45" s="72"/>
      <c r="K45" s="72"/>
      <c r="L45" s="72"/>
      <c r="M45" s="72"/>
      <c r="N45" s="72"/>
      <c r="O45" s="72"/>
      <c r="P45" s="72"/>
      <c r="Q45" s="72"/>
      <c r="R45" s="72"/>
      <c r="S45" s="72"/>
      <c r="T45" s="72"/>
      <c r="U45" s="72"/>
      <c r="V45" s="76"/>
      <c r="W45" s="74"/>
      <c r="X45" s="17"/>
    </row>
    <row r="46" spans="1:24" s="18" customFormat="1" thickBot="1">
      <c r="A46" s="13" t="s">
        <v>7</v>
      </c>
      <c r="B46" s="95">
        <v>81758212.616628826</v>
      </c>
      <c r="C46" s="80" t="s">
        <v>1</v>
      </c>
      <c r="D46" s="80"/>
      <c r="E46" s="80"/>
      <c r="F46" s="80"/>
      <c r="G46" s="80"/>
      <c r="H46" s="80"/>
      <c r="I46" s="80"/>
      <c r="J46" s="80"/>
      <c r="K46" s="72"/>
      <c r="L46" s="72"/>
      <c r="M46" s="72"/>
      <c r="N46" s="72"/>
      <c r="O46" s="72"/>
      <c r="P46" s="72"/>
      <c r="Q46" s="72"/>
      <c r="R46" s="72"/>
      <c r="S46" s="72"/>
      <c r="T46" s="72"/>
      <c r="U46" s="72"/>
      <c r="V46" s="76"/>
      <c r="W46" s="74"/>
      <c r="X46" s="17"/>
    </row>
    <row r="47" spans="1:24" s="18" customFormat="1" thickBot="1">
      <c r="A47" s="51" t="s">
        <v>8</v>
      </c>
      <c r="B47" s="96">
        <v>0.5393420373571014</v>
      </c>
      <c r="C47" s="82" t="s">
        <v>24</v>
      </c>
      <c r="D47" s="82"/>
      <c r="E47" s="82"/>
      <c r="F47" s="82"/>
      <c r="G47" s="82"/>
      <c r="H47" s="82"/>
      <c r="I47" s="82"/>
      <c r="J47" s="82"/>
      <c r="K47" s="72"/>
      <c r="L47" s="72"/>
      <c r="M47" s="72"/>
      <c r="N47" s="72"/>
      <c r="O47" s="72"/>
      <c r="P47" s="72"/>
      <c r="Q47" s="72"/>
      <c r="R47" s="72"/>
      <c r="S47" s="72"/>
      <c r="T47" s="72"/>
      <c r="U47" s="72"/>
      <c r="V47" s="76"/>
      <c r="W47" s="74"/>
      <c r="X47" s="17"/>
    </row>
    <row r="48" spans="1:24" s="18" customFormat="1" thickBot="1">
      <c r="A48" s="83" t="s">
        <v>9</v>
      </c>
      <c r="B48" s="97">
        <v>0.20253512473108826</v>
      </c>
      <c r="C48" s="80" t="s">
        <v>24</v>
      </c>
      <c r="D48" s="80"/>
      <c r="E48" s="80"/>
      <c r="F48" s="80"/>
      <c r="G48" s="80"/>
      <c r="H48" s="80"/>
      <c r="I48" s="80"/>
      <c r="J48" s="80"/>
      <c r="K48" s="72"/>
      <c r="L48" s="72"/>
      <c r="M48" s="72"/>
      <c r="N48" s="72"/>
      <c r="O48" s="72"/>
      <c r="P48" s="72"/>
      <c r="Q48" s="72"/>
      <c r="R48" s="72"/>
      <c r="S48" s="72"/>
      <c r="T48" s="72"/>
      <c r="U48" s="72"/>
      <c r="V48" s="76"/>
      <c r="W48" s="74"/>
      <c r="X48" s="17"/>
    </row>
    <row r="51" spans="1:24" s="102" customFormat="1" ht="13.5" thickBot="1">
      <c r="B51" s="103" t="s">
        <v>26</v>
      </c>
      <c r="C51" s="104"/>
      <c r="D51" s="104"/>
      <c r="E51" s="104"/>
      <c r="F51" s="104"/>
      <c r="G51" s="104"/>
      <c r="H51" s="104"/>
      <c r="I51" s="104"/>
      <c r="J51" s="104"/>
      <c r="K51" s="104"/>
      <c r="L51" s="104"/>
      <c r="M51" s="104"/>
      <c r="N51" s="104"/>
      <c r="O51" s="104"/>
      <c r="P51" s="104"/>
      <c r="Q51" s="104"/>
      <c r="R51" s="104"/>
      <c r="S51" s="104"/>
      <c r="T51" s="104"/>
      <c r="U51" s="104"/>
      <c r="V51" s="105"/>
      <c r="W51" s="106"/>
      <c r="X51" s="107"/>
    </row>
    <row r="52" spans="1:24" s="102" customFormat="1" ht="12.75">
      <c r="B52" s="108" t="s">
        <v>27</v>
      </c>
      <c r="C52" s="109">
        <v>0</v>
      </c>
      <c r="D52" s="110">
        <v>1</v>
      </c>
      <c r="E52" s="110">
        <v>2</v>
      </c>
      <c r="F52" s="110">
        <v>3</v>
      </c>
      <c r="G52" s="110">
        <v>4</v>
      </c>
      <c r="H52" s="110">
        <v>5</v>
      </c>
      <c r="I52" s="110">
        <v>6</v>
      </c>
      <c r="J52" s="110">
        <v>7</v>
      </c>
      <c r="K52" s="110">
        <v>8</v>
      </c>
      <c r="L52" s="110">
        <v>9</v>
      </c>
      <c r="M52" s="110">
        <v>10</v>
      </c>
      <c r="N52" s="110">
        <v>11</v>
      </c>
      <c r="O52" s="110">
        <v>12</v>
      </c>
      <c r="P52" s="110">
        <v>13</v>
      </c>
      <c r="Q52" s="110">
        <v>14</v>
      </c>
      <c r="R52" s="110">
        <v>15</v>
      </c>
      <c r="S52" s="110">
        <v>16</v>
      </c>
      <c r="T52" s="110">
        <v>17</v>
      </c>
      <c r="U52" s="110">
        <v>18</v>
      </c>
      <c r="V52" s="110">
        <v>19</v>
      </c>
      <c r="W52" s="111">
        <v>20</v>
      </c>
      <c r="X52" s="107"/>
    </row>
    <row r="53" spans="1:24" s="102" customFormat="1" ht="12.75">
      <c r="B53" s="108" t="s">
        <v>28</v>
      </c>
      <c r="C53" s="112">
        <v>-6201000</v>
      </c>
      <c r="D53" s="113"/>
      <c r="E53" s="113"/>
      <c r="F53" s="113"/>
      <c r="G53" s="113"/>
      <c r="H53" s="113"/>
      <c r="I53" s="113"/>
      <c r="J53" s="113"/>
      <c r="K53" s="113"/>
      <c r="L53" s="113"/>
      <c r="M53" s="113"/>
      <c r="N53" s="113"/>
      <c r="O53" s="113"/>
      <c r="P53" s="113"/>
      <c r="Q53" s="113"/>
      <c r="R53" s="113"/>
      <c r="S53" s="113"/>
      <c r="T53" s="113"/>
      <c r="U53" s="113"/>
      <c r="V53" s="113"/>
      <c r="W53" s="114"/>
      <c r="X53" s="107"/>
    </row>
    <row r="54" spans="1:24" s="102" customFormat="1" ht="12.75">
      <c r="B54" s="108" t="s">
        <v>29</v>
      </c>
      <c r="D54" s="115">
        <v>-3214815.1051518647</v>
      </c>
      <c r="E54" s="115">
        <v>-2741762.3538123965</v>
      </c>
      <c r="F54" s="115">
        <v>-559845.69855076075</v>
      </c>
      <c r="G54" s="115">
        <v>7514892.4039592817</v>
      </c>
      <c r="H54" s="115">
        <v>9393615.5049491003</v>
      </c>
      <c r="I54" s="115">
        <v>9393615.5049491003</v>
      </c>
      <c r="J54" s="115">
        <v>9393615.5049491003</v>
      </c>
      <c r="K54" s="115">
        <v>41420047.275142297</v>
      </c>
      <c r="L54" s="115">
        <v>41420047.275142297</v>
      </c>
      <c r="M54" s="115">
        <v>41420047.275142297</v>
      </c>
      <c r="N54" s="115">
        <v>41420047.275142297</v>
      </c>
      <c r="O54" s="115">
        <v>41420047.275142297</v>
      </c>
      <c r="P54" s="115">
        <v>41420047.275142297</v>
      </c>
      <c r="Q54" s="115">
        <v>41420047.275142297</v>
      </c>
      <c r="R54" s="115">
        <v>41420047.275142297</v>
      </c>
      <c r="S54" s="115">
        <v>41420047.275142297</v>
      </c>
      <c r="T54" s="115">
        <v>41420047.275142297</v>
      </c>
      <c r="U54" s="115">
        <v>41420047.275142297</v>
      </c>
      <c r="V54" s="115">
        <v>41420047.275142297</v>
      </c>
      <c r="W54" s="116">
        <v>41420047.275142297</v>
      </c>
      <c r="X54" s="107"/>
    </row>
    <row r="55" spans="1:24" s="102" customFormat="1" ht="13.5" thickBot="1">
      <c r="B55" s="108" t="s">
        <v>30</v>
      </c>
      <c r="C55" s="117">
        <v>-6201000</v>
      </c>
      <c r="D55" s="118">
        <v>-9415815.1051518656</v>
      </c>
      <c r="E55" s="118">
        <v>-12157577.458964262</v>
      </c>
      <c r="F55" s="118">
        <v>-12717423.157515023</v>
      </c>
      <c r="G55" s="118">
        <v>-5202530.7535557412</v>
      </c>
      <c r="H55" s="118">
        <v>4191084.7513933592</v>
      </c>
      <c r="I55" s="118">
        <v>13584700.256342459</v>
      </c>
      <c r="J55" s="118">
        <v>22978315.76129156</v>
      </c>
      <c r="K55" s="118">
        <v>64398363.036433861</v>
      </c>
      <c r="L55" s="118">
        <v>105818410.31157616</v>
      </c>
      <c r="M55" s="118">
        <v>147238457.58671844</v>
      </c>
      <c r="N55" s="118">
        <v>188658504.86186075</v>
      </c>
      <c r="O55" s="118">
        <v>230078552.13700306</v>
      </c>
      <c r="P55" s="118">
        <v>271498599.41214538</v>
      </c>
      <c r="Q55" s="118">
        <v>312918646.68728769</v>
      </c>
      <c r="R55" s="118">
        <v>354338693.96243</v>
      </c>
      <c r="S55" s="118">
        <v>395758741.23757231</v>
      </c>
      <c r="T55" s="118">
        <v>437178788.51271462</v>
      </c>
      <c r="U55" s="118">
        <v>478598835.78785694</v>
      </c>
      <c r="V55" s="118">
        <v>520018883.06299925</v>
      </c>
      <c r="W55" s="119">
        <v>561438930.33814156</v>
      </c>
      <c r="X55" s="107"/>
    </row>
    <row r="56" spans="1:24" s="128" customFormat="1" ht="14.25">
      <c r="A56" s="120"/>
      <c r="B56" s="121"/>
      <c r="C56" s="122"/>
      <c r="D56" s="123"/>
      <c r="E56" s="124"/>
      <c r="F56" s="124"/>
      <c r="G56" s="124"/>
      <c r="H56" s="124"/>
      <c r="I56" s="124"/>
      <c r="J56" s="124"/>
      <c r="K56" s="124"/>
      <c r="L56" s="124"/>
      <c r="M56" s="124"/>
      <c r="N56" s="124"/>
      <c r="O56" s="124"/>
      <c r="P56" s="124"/>
      <c r="Q56" s="124"/>
      <c r="R56" s="124"/>
      <c r="S56" s="124"/>
      <c r="T56" s="124"/>
      <c r="U56" s="124"/>
      <c r="V56" s="125"/>
      <c r="W56" s="126"/>
      <c r="X56" s="127"/>
    </row>
    <row r="57" spans="1:24" s="128" customFormat="1" thickBot="1">
      <c r="B57" s="129" t="s">
        <v>31</v>
      </c>
      <c r="C57" s="130">
        <v>5.5538368853626965</v>
      </c>
      <c r="D57" s="127"/>
      <c r="V57" s="121"/>
      <c r="W57" s="126"/>
      <c r="X57" s="127"/>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dimension ref="A1:X66"/>
  <sheetViews>
    <sheetView showGridLines="0" zoomScale="70" zoomScaleNormal="70" workbookViewId="0">
      <selection sqref="A1:XFD1048576"/>
    </sheetView>
  </sheetViews>
  <sheetFormatPr defaultColWidth="9" defaultRowHeight="15"/>
  <cols>
    <col min="1" max="1" width="76.140625" style="98" customWidth="1"/>
    <col min="2" max="2" width="15.85546875" style="98" bestFit="1" customWidth="1"/>
    <col min="3" max="3" width="16.5703125" style="98" customWidth="1"/>
    <col min="4" max="4" width="16.42578125" style="98" bestFit="1" customWidth="1"/>
    <col min="5" max="21" width="15.85546875" style="98" customWidth="1"/>
    <col min="22" max="22" width="15.85546875" style="99" customWidth="1"/>
    <col min="23" max="23" width="15.85546875" style="100" customWidth="1"/>
    <col min="24" max="24" width="9" style="101"/>
    <col min="25" max="16384" width="9" style="98"/>
  </cols>
  <sheetData>
    <row r="1" spans="1:24" s="18" customFormat="1" ht="15.75" thickBot="1">
      <c r="A1" s="131" t="s">
        <v>32</v>
      </c>
      <c r="B1" s="132"/>
      <c r="C1" s="132"/>
      <c r="D1" s="132"/>
      <c r="E1" s="132"/>
      <c r="F1" s="132"/>
      <c r="G1" s="132"/>
      <c r="H1" s="132"/>
      <c r="I1" s="132"/>
      <c r="J1" s="132"/>
      <c r="K1" s="132"/>
      <c r="L1" s="132"/>
      <c r="M1" s="132"/>
      <c r="N1" s="132"/>
      <c r="O1" s="132"/>
      <c r="P1" s="132"/>
      <c r="Q1" s="132"/>
      <c r="R1" s="132"/>
      <c r="S1" s="132"/>
      <c r="T1" s="132"/>
      <c r="U1" s="132"/>
      <c r="V1" s="132"/>
      <c r="W1" s="133"/>
      <c r="X1" s="17"/>
    </row>
    <row r="2" spans="1:24" s="18" customFormat="1" ht="14.25">
      <c r="A2" s="19"/>
      <c r="B2" s="20" t="s">
        <v>12</v>
      </c>
      <c r="C2" s="20"/>
      <c r="D2" s="20"/>
      <c r="E2" s="20"/>
      <c r="F2" s="20"/>
      <c r="G2" s="20"/>
      <c r="H2" s="20"/>
      <c r="I2" s="20"/>
      <c r="J2" s="20"/>
      <c r="K2" s="20"/>
      <c r="L2" s="20"/>
      <c r="M2" s="20"/>
      <c r="N2" s="20"/>
      <c r="O2" s="20"/>
      <c r="P2" s="20"/>
      <c r="Q2" s="20"/>
      <c r="R2" s="20"/>
      <c r="S2" s="20"/>
      <c r="T2" s="20"/>
      <c r="U2" s="20"/>
      <c r="V2" s="21"/>
      <c r="W2" s="22"/>
      <c r="X2" s="17"/>
    </row>
    <row r="3" spans="1:24" s="18" customFormat="1" ht="14.25">
      <c r="A3" s="23"/>
      <c r="B3" s="24"/>
      <c r="C3" s="25">
        <v>2023</v>
      </c>
      <c r="D3" s="25">
        <v>2024</v>
      </c>
      <c r="E3" s="25">
        <v>2025</v>
      </c>
      <c r="F3" s="25">
        <v>2026</v>
      </c>
      <c r="G3" s="25">
        <v>2027</v>
      </c>
      <c r="H3" s="25">
        <v>2028</v>
      </c>
      <c r="I3" s="25">
        <v>2029</v>
      </c>
      <c r="J3" s="25">
        <v>2030</v>
      </c>
      <c r="K3" s="25">
        <v>2031</v>
      </c>
      <c r="L3" s="25">
        <v>2032</v>
      </c>
      <c r="M3" s="25">
        <v>2033</v>
      </c>
      <c r="N3" s="25">
        <v>2034</v>
      </c>
      <c r="O3" s="25">
        <v>2035</v>
      </c>
      <c r="P3" s="25">
        <v>2036</v>
      </c>
      <c r="Q3" s="25">
        <v>2037</v>
      </c>
      <c r="R3" s="25">
        <v>2038</v>
      </c>
      <c r="S3" s="25">
        <v>2039</v>
      </c>
      <c r="T3" s="25">
        <v>2040</v>
      </c>
      <c r="U3" s="25">
        <v>2041</v>
      </c>
      <c r="V3" s="26">
        <v>2042</v>
      </c>
      <c r="W3" s="27"/>
      <c r="X3" s="17"/>
    </row>
    <row r="4" spans="1:24" s="18" customFormat="1" ht="14.25">
      <c r="A4" s="28" t="s">
        <v>33</v>
      </c>
      <c r="B4" s="29"/>
      <c r="C4" s="30"/>
      <c r="D4" s="30"/>
      <c r="E4" s="30"/>
      <c r="F4" s="30"/>
      <c r="G4" s="30"/>
      <c r="H4" s="30"/>
      <c r="I4" s="30"/>
      <c r="J4" s="31"/>
      <c r="K4" s="32"/>
      <c r="L4" s="32"/>
      <c r="M4" s="32"/>
      <c r="N4" s="32"/>
      <c r="O4" s="32"/>
      <c r="P4" s="32"/>
      <c r="Q4" s="32"/>
      <c r="R4" s="32"/>
      <c r="S4" s="32"/>
      <c r="T4" s="32"/>
      <c r="U4" s="32"/>
      <c r="V4" s="33"/>
      <c r="W4" s="34"/>
      <c r="X4" s="17"/>
    </row>
    <row r="5" spans="1:24" s="18" customFormat="1" ht="14.25">
      <c r="A5" s="28" t="s">
        <v>13</v>
      </c>
      <c r="B5" s="35" t="s">
        <v>1</v>
      </c>
      <c r="C5" s="36">
        <v>592200</v>
      </c>
      <c r="D5" s="36">
        <v>2142000</v>
      </c>
      <c r="E5" s="36">
        <v>3213000</v>
      </c>
      <c r="F5" s="36">
        <v>6199200</v>
      </c>
      <c r="G5" s="36">
        <v>7749000</v>
      </c>
      <c r="H5" s="36">
        <v>7749000</v>
      </c>
      <c r="I5" s="36">
        <v>7749000</v>
      </c>
      <c r="J5" s="36">
        <v>7749000</v>
      </c>
      <c r="K5" s="36">
        <v>7749000</v>
      </c>
      <c r="L5" s="36">
        <v>7749000</v>
      </c>
      <c r="M5" s="36">
        <v>7749000</v>
      </c>
      <c r="N5" s="36">
        <v>7749000</v>
      </c>
      <c r="O5" s="36">
        <v>7749000</v>
      </c>
      <c r="P5" s="36">
        <v>7749000</v>
      </c>
      <c r="Q5" s="36">
        <v>7749000</v>
      </c>
      <c r="R5" s="36">
        <v>7749000</v>
      </c>
      <c r="S5" s="36">
        <v>7749000</v>
      </c>
      <c r="T5" s="36">
        <v>7749000</v>
      </c>
      <c r="U5" s="36">
        <v>7749000</v>
      </c>
      <c r="V5" s="36">
        <v>7749000</v>
      </c>
      <c r="W5" s="5"/>
      <c r="X5" s="17"/>
    </row>
    <row r="6" spans="1:24" s="18" customFormat="1" ht="14.25">
      <c r="A6" s="38" t="s">
        <v>14</v>
      </c>
      <c r="B6" s="35" t="s">
        <v>1</v>
      </c>
      <c r="C6" s="36">
        <v>150300</v>
      </c>
      <c r="D6" s="36">
        <v>471600</v>
      </c>
      <c r="E6" s="36">
        <v>1989900</v>
      </c>
      <c r="F6" s="36">
        <v>3337200</v>
      </c>
      <c r="G6" s="36">
        <v>4171500</v>
      </c>
      <c r="H6" s="36">
        <v>4171500</v>
      </c>
      <c r="I6" s="36">
        <v>4171500</v>
      </c>
      <c r="J6" s="36">
        <v>4171500</v>
      </c>
      <c r="K6" s="36">
        <v>4171500</v>
      </c>
      <c r="L6" s="36">
        <v>4171500</v>
      </c>
      <c r="M6" s="36">
        <v>4171500</v>
      </c>
      <c r="N6" s="36">
        <v>4171500</v>
      </c>
      <c r="O6" s="36">
        <v>4171500</v>
      </c>
      <c r="P6" s="36">
        <v>4171500</v>
      </c>
      <c r="Q6" s="36">
        <v>4171500</v>
      </c>
      <c r="R6" s="36">
        <v>4171500</v>
      </c>
      <c r="S6" s="36">
        <v>4171500</v>
      </c>
      <c r="T6" s="36">
        <v>4171500</v>
      </c>
      <c r="U6" s="36">
        <v>4171500</v>
      </c>
      <c r="V6" s="36">
        <v>4171500</v>
      </c>
      <c r="W6" s="5"/>
      <c r="X6" s="17"/>
    </row>
    <row r="7" spans="1:24" s="18" customFormat="1" ht="14.25">
      <c r="A7" s="38" t="s">
        <v>15</v>
      </c>
      <c r="B7" s="35" t="s">
        <v>1</v>
      </c>
      <c r="C7" s="36">
        <v>201600</v>
      </c>
      <c r="D7" s="36">
        <v>950400</v>
      </c>
      <c r="E7" s="36">
        <v>1836000</v>
      </c>
      <c r="F7" s="36">
        <v>4089600</v>
      </c>
      <c r="G7" s="36">
        <v>5112000</v>
      </c>
      <c r="H7" s="36">
        <v>5112000</v>
      </c>
      <c r="I7" s="36">
        <v>5112000</v>
      </c>
      <c r="J7" s="36">
        <v>5112000</v>
      </c>
      <c r="K7" s="36">
        <v>5112000</v>
      </c>
      <c r="L7" s="36">
        <v>5112000</v>
      </c>
      <c r="M7" s="36">
        <v>5112000</v>
      </c>
      <c r="N7" s="36">
        <v>5112000</v>
      </c>
      <c r="O7" s="36">
        <v>5112000</v>
      </c>
      <c r="P7" s="36">
        <v>5112000</v>
      </c>
      <c r="Q7" s="36">
        <v>5112000</v>
      </c>
      <c r="R7" s="36">
        <v>5112000</v>
      </c>
      <c r="S7" s="36">
        <v>5112000</v>
      </c>
      <c r="T7" s="36">
        <v>5112000</v>
      </c>
      <c r="U7" s="36">
        <v>5112000</v>
      </c>
      <c r="V7" s="36">
        <v>5112000</v>
      </c>
      <c r="W7" s="5"/>
      <c r="X7" s="17"/>
    </row>
    <row r="8" spans="1:24" s="18" customFormat="1" ht="14.25">
      <c r="A8" s="39" t="s">
        <v>16</v>
      </c>
      <c r="B8" s="40" t="s">
        <v>1</v>
      </c>
      <c r="C8" s="36">
        <v>172800</v>
      </c>
      <c r="D8" s="36">
        <v>1713600</v>
      </c>
      <c r="E8" s="36">
        <v>3596400</v>
      </c>
      <c r="F8" s="36">
        <v>6163200</v>
      </c>
      <c r="G8" s="36">
        <v>7704000</v>
      </c>
      <c r="H8" s="36">
        <v>7704000</v>
      </c>
      <c r="I8" s="36">
        <v>7704000</v>
      </c>
      <c r="J8" s="36">
        <v>7704000</v>
      </c>
      <c r="K8" s="36">
        <v>7704000</v>
      </c>
      <c r="L8" s="36">
        <v>7704000</v>
      </c>
      <c r="M8" s="36">
        <v>7704000</v>
      </c>
      <c r="N8" s="36">
        <v>7704000</v>
      </c>
      <c r="O8" s="36">
        <v>7704000</v>
      </c>
      <c r="P8" s="36">
        <v>7704000</v>
      </c>
      <c r="Q8" s="36">
        <v>7704000</v>
      </c>
      <c r="R8" s="36">
        <v>7704000</v>
      </c>
      <c r="S8" s="36">
        <v>7704000</v>
      </c>
      <c r="T8" s="36">
        <v>7704000</v>
      </c>
      <c r="U8" s="36">
        <v>7704000</v>
      </c>
      <c r="V8" s="36">
        <v>7704000</v>
      </c>
      <c r="W8" s="5"/>
      <c r="X8" s="17"/>
    </row>
    <row r="9" spans="1:24" s="18" customFormat="1" ht="14.25">
      <c r="A9" s="39" t="s">
        <v>17</v>
      </c>
      <c r="B9" s="40" t="s">
        <v>1</v>
      </c>
      <c r="C9" s="36">
        <v>1830150</v>
      </c>
      <c r="D9" s="36">
        <v>4321799.9999999981</v>
      </c>
      <c r="E9" s="36">
        <v>7474949.9999999972</v>
      </c>
      <c r="F9" s="36">
        <v>12612600</v>
      </c>
      <c r="G9" s="36">
        <v>15765750</v>
      </c>
      <c r="H9" s="36">
        <v>15765750</v>
      </c>
      <c r="I9" s="36">
        <v>15765750</v>
      </c>
      <c r="J9" s="36">
        <v>15765750</v>
      </c>
      <c r="K9" s="36">
        <v>15765750</v>
      </c>
      <c r="L9" s="36">
        <v>15765750</v>
      </c>
      <c r="M9" s="36">
        <v>15765750</v>
      </c>
      <c r="N9" s="36">
        <v>15765750</v>
      </c>
      <c r="O9" s="36">
        <v>15765750</v>
      </c>
      <c r="P9" s="36">
        <v>15765750</v>
      </c>
      <c r="Q9" s="36">
        <v>15765750</v>
      </c>
      <c r="R9" s="36">
        <v>15765750</v>
      </c>
      <c r="S9" s="36">
        <v>15765750</v>
      </c>
      <c r="T9" s="36">
        <v>15765750</v>
      </c>
      <c r="U9" s="36">
        <v>15765750</v>
      </c>
      <c r="V9" s="36">
        <v>15765750</v>
      </c>
      <c r="W9" s="5"/>
      <c r="X9" s="17"/>
    </row>
    <row r="10" spans="1:24" s="18" customFormat="1" thickBot="1">
      <c r="A10" s="41" t="s">
        <v>34</v>
      </c>
      <c r="B10" s="42" t="s">
        <v>1</v>
      </c>
      <c r="C10" s="36">
        <v>317889.2574</v>
      </c>
      <c r="D10" s="36">
        <v>635778.5148</v>
      </c>
      <c r="E10" s="36">
        <v>953667.77220000001</v>
      </c>
      <c r="F10" s="36">
        <v>1271557.0296</v>
      </c>
      <c r="G10" s="36">
        <v>1589446.287</v>
      </c>
      <c r="H10" s="36">
        <v>1589446.287</v>
      </c>
      <c r="I10" s="36">
        <v>1589446.287</v>
      </c>
      <c r="J10" s="36">
        <v>1589446.287</v>
      </c>
      <c r="K10" s="36">
        <v>1589446.287</v>
      </c>
      <c r="L10" s="36">
        <v>1589446.287</v>
      </c>
      <c r="M10" s="36">
        <v>1589446.287</v>
      </c>
      <c r="N10" s="36">
        <v>1589446.287</v>
      </c>
      <c r="O10" s="36">
        <v>1589446.287</v>
      </c>
      <c r="P10" s="36">
        <v>1589446.287</v>
      </c>
      <c r="Q10" s="36">
        <v>1589446.287</v>
      </c>
      <c r="R10" s="36">
        <v>1589446.287</v>
      </c>
      <c r="S10" s="36">
        <v>1589446.287</v>
      </c>
      <c r="T10" s="36">
        <v>1589446.287</v>
      </c>
      <c r="U10" s="36">
        <v>1589446.287</v>
      </c>
      <c r="V10" s="37">
        <v>1589446.287</v>
      </c>
      <c r="W10" s="5"/>
      <c r="X10" s="17"/>
    </row>
    <row r="11" spans="1:24" s="48" customFormat="1" thickBot="1">
      <c r="A11" s="43" t="s">
        <v>19</v>
      </c>
      <c r="B11" s="44" t="s">
        <v>1</v>
      </c>
      <c r="C11" s="45">
        <v>3264939.2574</v>
      </c>
      <c r="D11" s="45">
        <v>10235178.514799997</v>
      </c>
      <c r="E11" s="45">
        <v>19063917.772199996</v>
      </c>
      <c r="F11" s="45">
        <v>33673357.029600002</v>
      </c>
      <c r="G11" s="45">
        <v>42091696.287</v>
      </c>
      <c r="H11" s="45">
        <v>42091696.287</v>
      </c>
      <c r="I11" s="45">
        <v>42091696.287</v>
      </c>
      <c r="J11" s="45">
        <v>42091696.287</v>
      </c>
      <c r="K11" s="45">
        <v>42091696.287</v>
      </c>
      <c r="L11" s="45">
        <v>42091696.287</v>
      </c>
      <c r="M11" s="45">
        <v>42091696.287</v>
      </c>
      <c r="N11" s="45">
        <v>42091696.287</v>
      </c>
      <c r="O11" s="45">
        <v>42091696.287</v>
      </c>
      <c r="P11" s="45">
        <v>42091696.287</v>
      </c>
      <c r="Q11" s="45">
        <v>42091696.287</v>
      </c>
      <c r="R11" s="45">
        <v>42091696.287</v>
      </c>
      <c r="S11" s="45">
        <v>42091696.287</v>
      </c>
      <c r="T11" s="45">
        <v>42091696.287</v>
      </c>
      <c r="U11" s="45">
        <v>42091696.287</v>
      </c>
      <c r="V11" s="46">
        <v>42091696.287</v>
      </c>
      <c r="W11" s="14"/>
      <c r="X11" s="47"/>
    </row>
    <row r="12" spans="1:24" s="18" customFormat="1" ht="14.25">
      <c r="A12" s="49" t="s">
        <v>3</v>
      </c>
      <c r="B12" s="50"/>
      <c r="C12" s="36"/>
      <c r="D12" s="36"/>
      <c r="E12" s="36"/>
      <c r="F12" s="36"/>
      <c r="G12" s="36"/>
      <c r="H12" s="36"/>
      <c r="I12" s="36"/>
      <c r="J12" s="36"/>
      <c r="K12" s="36"/>
      <c r="L12" s="36"/>
      <c r="M12" s="36"/>
      <c r="N12" s="36"/>
      <c r="O12" s="36"/>
      <c r="P12" s="36"/>
      <c r="Q12" s="36"/>
      <c r="R12" s="36"/>
      <c r="S12" s="36"/>
      <c r="T12" s="36"/>
      <c r="U12" s="36"/>
      <c r="V12" s="37"/>
      <c r="W12" s="5"/>
      <c r="X12" s="17"/>
    </row>
    <row r="13" spans="1:24" s="18" customFormat="1" ht="14.25">
      <c r="A13" s="41" t="s">
        <v>35</v>
      </c>
      <c r="B13" s="35" t="s">
        <v>1</v>
      </c>
      <c r="C13" s="36">
        <v>1240200</v>
      </c>
      <c r="D13" s="36">
        <v>1240200</v>
      </c>
      <c r="E13" s="36">
        <v>1240200</v>
      </c>
      <c r="F13" s="36">
        <v>1240200</v>
      </c>
      <c r="G13" s="36">
        <v>1240200</v>
      </c>
      <c r="H13" s="36"/>
      <c r="I13" s="36"/>
      <c r="J13" s="36"/>
      <c r="K13" s="36"/>
      <c r="L13" s="36"/>
      <c r="M13" s="36"/>
      <c r="N13" s="36"/>
      <c r="O13" s="36"/>
      <c r="P13" s="36"/>
      <c r="Q13" s="36"/>
      <c r="R13" s="36"/>
      <c r="S13" s="36"/>
      <c r="T13" s="36"/>
      <c r="U13" s="36"/>
      <c r="V13" s="37"/>
      <c r="W13" s="5"/>
      <c r="X13" s="17"/>
    </row>
    <row r="14" spans="1:24" s="18" customFormat="1" ht="14.25">
      <c r="A14" s="51" t="s">
        <v>13</v>
      </c>
      <c r="B14" s="35" t="s">
        <v>1</v>
      </c>
      <c r="C14" s="36">
        <v>1375290</v>
      </c>
      <c r="D14" s="36">
        <v>2750580</v>
      </c>
      <c r="E14" s="36">
        <v>4125870</v>
      </c>
      <c r="F14" s="36">
        <v>5501160</v>
      </c>
      <c r="G14" s="36">
        <v>6876450</v>
      </c>
      <c r="H14" s="36">
        <v>6876450</v>
      </c>
      <c r="I14" s="36">
        <v>6876450</v>
      </c>
      <c r="J14" s="36">
        <v>6876450</v>
      </c>
      <c r="K14" s="36">
        <v>6876450</v>
      </c>
      <c r="L14" s="36">
        <v>6876450</v>
      </c>
      <c r="M14" s="36">
        <v>6876450</v>
      </c>
      <c r="N14" s="36">
        <v>6876450</v>
      </c>
      <c r="O14" s="36">
        <v>6876450</v>
      </c>
      <c r="P14" s="36">
        <v>6876450</v>
      </c>
      <c r="Q14" s="36">
        <v>6876450</v>
      </c>
      <c r="R14" s="36">
        <v>6876450</v>
      </c>
      <c r="S14" s="36">
        <v>6876450</v>
      </c>
      <c r="T14" s="36">
        <v>6876450</v>
      </c>
      <c r="U14" s="36">
        <v>6876450</v>
      </c>
      <c r="V14" s="36">
        <v>6876450</v>
      </c>
      <c r="W14" s="5"/>
      <c r="X14" s="17"/>
    </row>
    <row r="15" spans="1:24" s="48" customFormat="1" ht="14.25">
      <c r="A15" s="38" t="s">
        <v>14</v>
      </c>
      <c r="B15" s="35" t="s">
        <v>1</v>
      </c>
      <c r="C15" s="36">
        <v>633600</v>
      </c>
      <c r="D15" s="36">
        <v>1267200</v>
      </c>
      <c r="E15" s="36">
        <v>1900800</v>
      </c>
      <c r="F15" s="36">
        <v>2534400</v>
      </c>
      <c r="G15" s="36">
        <v>3168000</v>
      </c>
      <c r="H15" s="36">
        <v>3168000</v>
      </c>
      <c r="I15" s="36">
        <v>3168000</v>
      </c>
      <c r="J15" s="36">
        <v>3168000</v>
      </c>
      <c r="K15" s="36">
        <v>3168000</v>
      </c>
      <c r="L15" s="36">
        <v>3168000</v>
      </c>
      <c r="M15" s="36">
        <v>3168000</v>
      </c>
      <c r="N15" s="36">
        <v>3168000</v>
      </c>
      <c r="O15" s="36">
        <v>3168000</v>
      </c>
      <c r="P15" s="36">
        <v>3168000</v>
      </c>
      <c r="Q15" s="36">
        <v>3168000</v>
      </c>
      <c r="R15" s="36">
        <v>3168000</v>
      </c>
      <c r="S15" s="36">
        <v>3168000</v>
      </c>
      <c r="T15" s="36">
        <v>3168000</v>
      </c>
      <c r="U15" s="36">
        <v>3168000</v>
      </c>
      <c r="V15" s="36">
        <v>3168000</v>
      </c>
      <c r="W15" s="5"/>
      <c r="X15" s="47"/>
    </row>
    <row r="16" spans="1:24" s="48" customFormat="1" ht="14.25">
      <c r="A16" s="38" t="s">
        <v>15</v>
      </c>
      <c r="B16" s="35" t="s">
        <v>1</v>
      </c>
      <c r="C16" s="36">
        <v>794790</v>
      </c>
      <c r="D16" s="36">
        <v>1589580</v>
      </c>
      <c r="E16" s="36">
        <v>2384370</v>
      </c>
      <c r="F16" s="36">
        <v>3179160</v>
      </c>
      <c r="G16" s="36">
        <v>3973950</v>
      </c>
      <c r="H16" s="36">
        <v>3973950</v>
      </c>
      <c r="I16" s="36">
        <v>3973950</v>
      </c>
      <c r="J16" s="36">
        <v>3973950</v>
      </c>
      <c r="K16" s="36">
        <v>3973950</v>
      </c>
      <c r="L16" s="36">
        <v>3973950</v>
      </c>
      <c r="M16" s="36">
        <v>3973950</v>
      </c>
      <c r="N16" s="36">
        <v>3973950</v>
      </c>
      <c r="O16" s="36">
        <v>3973950</v>
      </c>
      <c r="P16" s="36">
        <v>3973950</v>
      </c>
      <c r="Q16" s="36">
        <v>3973950</v>
      </c>
      <c r="R16" s="36">
        <v>3973950</v>
      </c>
      <c r="S16" s="36">
        <v>3973950</v>
      </c>
      <c r="T16" s="36">
        <v>3973950</v>
      </c>
      <c r="U16" s="36">
        <v>3973950</v>
      </c>
      <c r="V16" s="36">
        <v>3973950</v>
      </c>
      <c r="W16" s="5"/>
      <c r="X16" s="47"/>
    </row>
    <row r="17" spans="1:24" s="48" customFormat="1" ht="14.25">
      <c r="A17" s="39" t="s">
        <v>16</v>
      </c>
      <c r="B17" s="40" t="s">
        <v>1</v>
      </c>
      <c r="C17" s="36">
        <v>1242000</v>
      </c>
      <c r="D17" s="36">
        <v>2484000</v>
      </c>
      <c r="E17" s="36">
        <v>3726000</v>
      </c>
      <c r="F17" s="36">
        <v>4968000</v>
      </c>
      <c r="G17" s="36">
        <v>6210000</v>
      </c>
      <c r="H17" s="36">
        <v>6210000</v>
      </c>
      <c r="I17" s="36">
        <v>6210000</v>
      </c>
      <c r="J17" s="36">
        <v>6210000</v>
      </c>
      <c r="K17" s="36">
        <v>6210000</v>
      </c>
      <c r="L17" s="36">
        <v>6210000</v>
      </c>
      <c r="M17" s="36">
        <v>6210000</v>
      </c>
      <c r="N17" s="36">
        <v>6210000</v>
      </c>
      <c r="O17" s="36">
        <v>6210000</v>
      </c>
      <c r="P17" s="36">
        <v>6210000</v>
      </c>
      <c r="Q17" s="36">
        <v>6210000</v>
      </c>
      <c r="R17" s="36">
        <v>6210000</v>
      </c>
      <c r="S17" s="36">
        <v>6210000</v>
      </c>
      <c r="T17" s="36">
        <v>6210000</v>
      </c>
      <c r="U17" s="36">
        <v>6210000</v>
      </c>
      <c r="V17" s="36">
        <v>6210000</v>
      </c>
      <c r="W17" s="5"/>
      <c r="X17" s="47"/>
    </row>
    <row r="18" spans="1:24" s="18" customFormat="1" thickBot="1">
      <c r="A18" s="39" t="s">
        <v>17</v>
      </c>
      <c r="B18" s="40" t="s">
        <v>1</v>
      </c>
      <c r="C18" s="36">
        <v>2860672.5</v>
      </c>
      <c r="D18" s="36">
        <v>5721345</v>
      </c>
      <c r="E18" s="36">
        <v>8582017.5</v>
      </c>
      <c r="F18" s="36">
        <v>11442690</v>
      </c>
      <c r="G18" s="36">
        <v>14303362.5</v>
      </c>
      <c r="H18" s="36">
        <v>14303362.5</v>
      </c>
      <c r="I18" s="36">
        <v>14303362.5</v>
      </c>
      <c r="J18" s="36">
        <v>14303362.5</v>
      </c>
      <c r="K18" s="36">
        <v>14303362.5</v>
      </c>
      <c r="L18" s="36">
        <v>14303362.5</v>
      </c>
      <c r="M18" s="36">
        <v>14303362.5</v>
      </c>
      <c r="N18" s="36">
        <v>14303362.5</v>
      </c>
      <c r="O18" s="36">
        <v>14303362.5</v>
      </c>
      <c r="P18" s="36">
        <v>14303362.5</v>
      </c>
      <c r="Q18" s="36">
        <v>14303362.5</v>
      </c>
      <c r="R18" s="36">
        <v>14303362.5</v>
      </c>
      <c r="S18" s="36">
        <v>14303362.5</v>
      </c>
      <c r="T18" s="36">
        <v>14303362.5</v>
      </c>
      <c r="U18" s="36">
        <v>14303362.5</v>
      </c>
      <c r="V18" s="36">
        <v>14303362.5</v>
      </c>
      <c r="W18" s="5"/>
      <c r="X18" s="17"/>
    </row>
    <row r="19" spans="1:24" s="48" customFormat="1" thickBot="1">
      <c r="A19" s="52" t="s">
        <v>21</v>
      </c>
      <c r="B19" s="44" t="s">
        <v>1</v>
      </c>
      <c r="C19" s="45">
        <v>8146552.5</v>
      </c>
      <c r="D19" s="45">
        <v>15052905</v>
      </c>
      <c r="E19" s="45">
        <v>21959257.5</v>
      </c>
      <c r="F19" s="45">
        <v>28865610</v>
      </c>
      <c r="G19" s="45">
        <v>35771962.5</v>
      </c>
      <c r="H19" s="45">
        <v>34531762.5</v>
      </c>
      <c r="I19" s="45">
        <v>34531762.5</v>
      </c>
      <c r="J19" s="45">
        <v>34531762.5</v>
      </c>
      <c r="K19" s="45">
        <v>34531762.5</v>
      </c>
      <c r="L19" s="45">
        <v>34531762.5</v>
      </c>
      <c r="M19" s="45">
        <v>34531762.5</v>
      </c>
      <c r="N19" s="45">
        <v>34531762.5</v>
      </c>
      <c r="O19" s="45">
        <v>34531762.5</v>
      </c>
      <c r="P19" s="45">
        <v>34531762.5</v>
      </c>
      <c r="Q19" s="45">
        <v>34531762.5</v>
      </c>
      <c r="R19" s="45">
        <v>34531762.5</v>
      </c>
      <c r="S19" s="45">
        <v>34531762.5</v>
      </c>
      <c r="T19" s="45">
        <v>34531762.5</v>
      </c>
      <c r="U19" s="45">
        <v>34531762.5</v>
      </c>
      <c r="V19" s="46">
        <v>34531762.5</v>
      </c>
      <c r="W19" s="14"/>
      <c r="X19" s="47"/>
    </row>
    <row r="20" spans="1:24" s="48" customFormat="1" ht="14.25">
      <c r="A20" s="53" t="s">
        <v>0</v>
      </c>
      <c r="B20" s="54" t="s">
        <v>1</v>
      </c>
      <c r="C20" s="45">
        <v>-4881613.2425999995</v>
      </c>
      <c r="D20" s="45">
        <v>-4817726.4852000028</v>
      </c>
      <c r="E20" s="45">
        <v>-2895339.7278000042</v>
      </c>
      <c r="F20" s="45">
        <v>4807747.0296000019</v>
      </c>
      <c r="G20" s="45">
        <v>6319733.7870000005</v>
      </c>
      <c r="H20" s="45">
        <v>7559933.7870000005</v>
      </c>
      <c r="I20" s="45">
        <v>7559933.7870000005</v>
      </c>
      <c r="J20" s="45">
        <v>7559933.7870000005</v>
      </c>
      <c r="K20" s="45">
        <v>7559933.7870000005</v>
      </c>
      <c r="L20" s="45">
        <v>7559933.7870000005</v>
      </c>
      <c r="M20" s="45">
        <v>7559933.7870000005</v>
      </c>
      <c r="N20" s="45">
        <v>7559933.7870000005</v>
      </c>
      <c r="O20" s="45">
        <v>7559933.7870000005</v>
      </c>
      <c r="P20" s="45">
        <v>7559933.7870000005</v>
      </c>
      <c r="Q20" s="45">
        <v>7559933.7870000005</v>
      </c>
      <c r="R20" s="45">
        <v>7559933.7870000005</v>
      </c>
      <c r="S20" s="45">
        <v>7559933.7870000005</v>
      </c>
      <c r="T20" s="45">
        <v>7559933.7870000005</v>
      </c>
      <c r="U20" s="45">
        <v>7559933.7870000005</v>
      </c>
      <c r="V20" s="46">
        <v>7559933.7870000005</v>
      </c>
      <c r="W20" s="14"/>
      <c r="X20" s="47"/>
    </row>
    <row r="21" spans="1:24" s="18" customFormat="1" ht="14.25">
      <c r="A21" s="55"/>
      <c r="B21" s="56"/>
      <c r="C21" s="36"/>
      <c r="D21" s="36"/>
      <c r="E21" s="36"/>
      <c r="F21" s="36"/>
      <c r="G21" s="36"/>
      <c r="H21" s="36"/>
      <c r="I21" s="36"/>
      <c r="J21" s="36"/>
      <c r="K21" s="36"/>
      <c r="L21" s="36"/>
      <c r="M21" s="36"/>
      <c r="N21" s="36"/>
      <c r="O21" s="36"/>
      <c r="P21" s="36"/>
      <c r="Q21" s="36"/>
      <c r="R21" s="36"/>
      <c r="S21" s="36"/>
      <c r="T21" s="36"/>
      <c r="U21" s="36"/>
      <c r="V21" s="37"/>
      <c r="W21" s="5"/>
      <c r="X21" s="17"/>
    </row>
    <row r="22" spans="1:24" s="18" customFormat="1" ht="14.25">
      <c r="A22" s="57" t="s">
        <v>36</v>
      </c>
      <c r="B22" s="54" t="s">
        <v>1</v>
      </c>
      <c r="C22" s="36">
        <v>99392.032825841117</v>
      </c>
      <c r="D22" s="36">
        <v>203632.45749684519</v>
      </c>
      <c r="E22" s="36">
        <v>312721.2740130123</v>
      </c>
      <c r="F22" s="36">
        <v>426658.48237434239</v>
      </c>
      <c r="G22" s="36">
        <v>545444.08258083544</v>
      </c>
      <c r="H22" s="36">
        <v>557565.06219374284</v>
      </c>
      <c r="I22" s="36">
        <v>569686.04180665035</v>
      </c>
      <c r="J22" s="36">
        <v>581807.02141955774</v>
      </c>
      <c r="K22" s="36">
        <v>593928.00103246525</v>
      </c>
      <c r="L22" s="36">
        <v>606048.98064537265</v>
      </c>
      <c r="M22" s="36">
        <v>618169.96025828016</v>
      </c>
      <c r="N22" s="36">
        <v>630290.93987118755</v>
      </c>
      <c r="O22" s="36">
        <v>642411.91948409507</v>
      </c>
      <c r="P22" s="36">
        <v>666653.87870990997</v>
      </c>
      <c r="Q22" s="36">
        <v>678774.85832281737</v>
      </c>
      <c r="R22" s="36">
        <v>690895.83793572476</v>
      </c>
      <c r="S22" s="36">
        <v>703016.81754863227</v>
      </c>
      <c r="T22" s="36">
        <v>727258.77677444718</v>
      </c>
      <c r="U22" s="36">
        <v>739379.75638735457</v>
      </c>
      <c r="V22" s="37">
        <v>763621.71561316948</v>
      </c>
      <c r="W22" s="5"/>
      <c r="X22" s="17"/>
    </row>
    <row r="23" spans="1:24" s="18" customFormat="1" ht="14.25">
      <c r="A23" s="57" t="s">
        <v>37</v>
      </c>
      <c r="B23" s="54" t="s">
        <v>1</v>
      </c>
      <c r="C23" s="36">
        <v>198784.06565168223</v>
      </c>
      <c r="D23" s="36">
        <v>407264.91499369039</v>
      </c>
      <c r="E23" s="36">
        <v>625442.5480260246</v>
      </c>
      <c r="F23" s="36">
        <v>843620.18105835887</v>
      </c>
      <c r="G23" s="36">
        <v>1078767.1855487635</v>
      </c>
      <c r="H23" s="36">
        <v>1103009.1447745783</v>
      </c>
      <c r="I23" s="36">
        <v>1139372.0836133007</v>
      </c>
      <c r="J23" s="36">
        <v>1163614.0428391155</v>
      </c>
      <c r="K23" s="36">
        <v>1187856.0020649305</v>
      </c>
      <c r="L23" s="36">
        <v>1212097.9612907453</v>
      </c>
      <c r="M23" s="36">
        <v>1236339.9205165603</v>
      </c>
      <c r="N23" s="36">
        <v>1272702.8593552825</v>
      </c>
      <c r="O23" s="36">
        <v>1296944.8185810975</v>
      </c>
      <c r="P23" s="36">
        <v>1321186.7778069123</v>
      </c>
      <c r="Q23" s="36">
        <v>1357549.7166456347</v>
      </c>
      <c r="R23" s="36">
        <v>1381791.6758714495</v>
      </c>
      <c r="S23" s="36">
        <v>1418154.6147101719</v>
      </c>
      <c r="T23" s="36">
        <v>1454517.5535488944</v>
      </c>
      <c r="U23" s="36">
        <v>1478759.5127747091</v>
      </c>
      <c r="V23" s="37">
        <v>1515122.4516134318</v>
      </c>
      <c r="W23" s="5"/>
      <c r="X23" s="17"/>
    </row>
    <row r="24" spans="1:24" s="18" customFormat="1" ht="14.25">
      <c r="A24" s="58"/>
      <c r="B24" s="54"/>
      <c r="C24" s="36"/>
      <c r="D24" s="36"/>
      <c r="E24" s="36"/>
      <c r="F24" s="36"/>
      <c r="G24" s="36"/>
      <c r="H24" s="36"/>
      <c r="I24" s="36"/>
      <c r="J24" s="36"/>
      <c r="K24" s="36"/>
      <c r="L24" s="36"/>
      <c r="M24" s="36"/>
      <c r="N24" s="36"/>
      <c r="O24" s="36"/>
      <c r="P24" s="36"/>
      <c r="Q24" s="36"/>
      <c r="R24" s="36"/>
      <c r="S24" s="36"/>
      <c r="T24" s="36"/>
      <c r="U24" s="36"/>
      <c r="V24" s="37"/>
      <c r="W24" s="5"/>
      <c r="X24" s="17"/>
    </row>
    <row r="25" spans="1:24" s="48" customFormat="1" ht="14.25">
      <c r="A25" s="59" t="s">
        <v>38</v>
      </c>
      <c r="B25" s="54"/>
      <c r="C25" s="45">
        <v>-4782221.209774158</v>
      </c>
      <c r="D25" s="45">
        <v>-4614094.0277031576</v>
      </c>
      <c r="E25" s="45">
        <v>-2582618.453786992</v>
      </c>
      <c r="F25" s="45">
        <v>5234405.511974344</v>
      </c>
      <c r="G25" s="45">
        <v>6865177.869580836</v>
      </c>
      <c r="H25" s="45">
        <v>8117498.8491937434</v>
      </c>
      <c r="I25" s="45">
        <v>8129619.8288066508</v>
      </c>
      <c r="J25" s="45">
        <v>8141740.8084195582</v>
      </c>
      <c r="K25" s="45">
        <v>8153861.7880324656</v>
      </c>
      <c r="L25" s="45">
        <v>8165982.767645373</v>
      </c>
      <c r="M25" s="45">
        <v>8178103.7472582804</v>
      </c>
      <c r="N25" s="45">
        <v>8190224.7268711878</v>
      </c>
      <c r="O25" s="45">
        <v>8202345.7064840952</v>
      </c>
      <c r="P25" s="45">
        <v>8226587.6657099109</v>
      </c>
      <c r="Q25" s="45">
        <v>8238708.6453228183</v>
      </c>
      <c r="R25" s="45">
        <v>8250829.6249357257</v>
      </c>
      <c r="S25" s="45">
        <v>8262950.6045486331</v>
      </c>
      <c r="T25" s="45">
        <v>8287192.5637744479</v>
      </c>
      <c r="U25" s="45">
        <v>8299313.5433873553</v>
      </c>
      <c r="V25" s="46">
        <v>8323555.5026131701</v>
      </c>
      <c r="W25" s="14"/>
      <c r="X25" s="47"/>
    </row>
    <row r="26" spans="1:24" s="48" customFormat="1" thickBot="1">
      <c r="A26" s="60" t="s">
        <v>39</v>
      </c>
      <c r="B26" s="61"/>
      <c r="C26" s="62">
        <v>-4682829.1769483173</v>
      </c>
      <c r="D26" s="62">
        <v>-4410461.5702063125</v>
      </c>
      <c r="E26" s="62">
        <v>-2269897.1797739798</v>
      </c>
      <c r="F26" s="62">
        <v>5651367.2106583603</v>
      </c>
      <c r="G26" s="62">
        <v>7398500.9725487642</v>
      </c>
      <c r="H26" s="62">
        <v>8662942.931774579</v>
      </c>
      <c r="I26" s="62">
        <v>8699305.8706133012</v>
      </c>
      <c r="J26" s="62">
        <v>8723547.829839116</v>
      </c>
      <c r="K26" s="62">
        <v>8747789.7890649308</v>
      </c>
      <c r="L26" s="62">
        <v>8772031.7482907455</v>
      </c>
      <c r="M26" s="62">
        <v>8796273.7075165603</v>
      </c>
      <c r="N26" s="62">
        <v>8832636.6463552825</v>
      </c>
      <c r="O26" s="62">
        <v>8856878.6055810973</v>
      </c>
      <c r="P26" s="62">
        <v>8881120.5648069121</v>
      </c>
      <c r="Q26" s="62">
        <v>8917483.5036456361</v>
      </c>
      <c r="R26" s="62">
        <v>8941725.4628714509</v>
      </c>
      <c r="S26" s="62">
        <v>8978088.4017101731</v>
      </c>
      <c r="T26" s="62">
        <v>9014451.3405488953</v>
      </c>
      <c r="U26" s="62">
        <v>9038693.2997747101</v>
      </c>
      <c r="V26" s="63">
        <v>9075056.2386134323</v>
      </c>
      <c r="W26" s="14"/>
      <c r="X26" s="47"/>
    </row>
    <row r="27" spans="1:24" s="18" customFormat="1" thickBot="1">
      <c r="A27" s="64"/>
      <c r="B27" s="22"/>
      <c r="C27" s="65"/>
      <c r="D27" s="65"/>
      <c r="E27" s="65"/>
      <c r="F27" s="65"/>
      <c r="G27" s="65"/>
      <c r="H27" s="65"/>
      <c r="I27" s="66"/>
      <c r="J27" s="66"/>
      <c r="K27" s="67"/>
      <c r="L27" s="67"/>
      <c r="M27" s="67"/>
      <c r="N27" s="67"/>
      <c r="O27" s="67"/>
      <c r="P27" s="67"/>
      <c r="Q27" s="67"/>
      <c r="R27" s="67"/>
      <c r="S27" s="67"/>
      <c r="T27" s="67"/>
      <c r="U27" s="67"/>
      <c r="V27" s="68"/>
      <c r="W27" s="69"/>
      <c r="X27" s="17"/>
    </row>
    <row r="28" spans="1:24" s="18" customFormat="1" ht="14.25">
      <c r="A28" s="134" t="s">
        <v>22</v>
      </c>
      <c r="B28" s="135"/>
      <c r="C28" s="70"/>
      <c r="D28" s="71"/>
      <c r="E28" s="71"/>
      <c r="F28" s="71"/>
      <c r="G28" s="71"/>
      <c r="H28" s="71"/>
      <c r="I28" s="72"/>
      <c r="J28" s="72"/>
      <c r="K28" s="66"/>
      <c r="L28" s="66"/>
      <c r="M28" s="66"/>
      <c r="N28" s="66"/>
      <c r="O28" s="66"/>
      <c r="P28" s="66"/>
      <c r="Q28" s="66"/>
      <c r="R28" s="66"/>
      <c r="S28" s="66"/>
      <c r="T28" s="66"/>
      <c r="U28" s="66"/>
      <c r="V28" s="73"/>
      <c r="W28" s="74"/>
      <c r="X28" s="17"/>
    </row>
    <row r="29" spans="1:24" s="18" customFormat="1" ht="14.25">
      <c r="A29" s="53" t="s">
        <v>10</v>
      </c>
      <c r="B29" s="75">
        <v>8.5000000000000006E-2</v>
      </c>
      <c r="C29" s="70"/>
      <c r="D29" s="71"/>
      <c r="E29" s="71"/>
      <c r="F29" s="71"/>
      <c r="G29" s="71"/>
      <c r="H29" s="71"/>
      <c r="I29" s="72"/>
      <c r="J29" s="72"/>
      <c r="K29" s="72"/>
      <c r="L29" s="72"/>
      <c r="M29" s="72"/>
      <c r="N29" s="72"/>
      <c r="O29" s="72"/>
      <c r="P29" s="72"/>
      <c r="Q29" s="72"/>
      <c r="R29" s="72"/>
      <c r="S29" s="72"/>
      <c r="T29" s="72"/>
      <c r="U29" s="72"/>
      <c r="V29" s="76"/>
      <c r="W29" s="74"/>
      <c r="X29" s="17"/>
    </row>
    <row r="30" spans="1:24" s="18" customFormat="1" thickBot="1">
      <c r="A30" s="136" t="s">
        <v>23</v>
      </c>
      <c r="B30" s="137"/>
      <c r="C30" s="77"/>
      <c r="D30" s="72"/>
      <c r="E30" s="72"/>
      <c r="F30" s="72"/>
      <c r="G30" s="72"/>
      <c r="H30" s="72"/>
      <c r="I30" s="72"/>
      <c r="J30" s="72"/>
      <c r="K30" s="72"/>
      <c r="L30" s="72"/>
      <c r="M30" s="72"/>
      <c r="N30" s="72"/>
      <c r="O30" s="72"/>
      <c r="P30" s="72"/>
      <c r="Q30" s="72"/>
      <c r="R30" s="72"/>
      <c r="S30" s="72"/>
      <c r="T30" s="72"/>
      <c r="U30" s="72"/>
      <c r="V30" s="76"/>
      <c r="W30" s="74"/>
      <c r="X30" s="17"/>
    </row>
    <row r="31" spans="1:24" s="18" customFormat="1" thickBot="1">
      <c r="A31" s="78" t="s">
        <v>7</v>
      </c>
      <c r="B31" s="37">
        <v>38564850.749714248</v>
      </c>
      <c r="C31" s="80" t="s">
        <v>1</v>
      </c>
      <c r="D31" s="80"/>
      <c r="E31" s="80"/>
      <c r="F31" s="80"/>
      <c r="G31" s="80"/>
      <c r="H31" s="80"/>
      <c r="I31" s="80"/>
      <c r="J31" s="80"/>
      <c r="K31" s="72"/>
      <c r="L31" s="72"/>
      <c r="M31" s="72"/>
      <c r="N31" s="72"/>
      <c r="O31" s="72"/>
      <c r="P31" s="72"/>
      <c r="Q31" s="72"/>
      <c r="R31" s="72"/>
      <c r="S31" s="72"/>
      <c r="T31" s="72"/>
      <c r="U31" s="72"/>
      <c r="V31" s="76"/>
      <c r="W31" s="74"/>
      <c r="X31" s="17"/>
    </row>
    <row r="32" spans="1:24" s="18" customFormat="1" thickBot="1">
      <c r="A32" s="78" t="s">
        <v>8</v>
      </c>
      <c r="B32" s="75">
        <v>0.35610385083910034</v>
      </c>
      <c r="C32" s="82" t="s">
        <v>24</v>
      </c>
      <c r="D32" s="82"/>
      <c r="E32" s="82"/>
      <c r="F32" s="82"/>
      <c r="G32" s="82"/>
      <c r="H32" s="82"/>
      <c r="I32" s="82"/>
      <c r="J32" s="82"/>
      <c r="K32" s="72"/>
      <c r="L32" s="72"/>
      <c r="M32" s="72"/>
      <c r="N32" s="72"/>
      <c r="O32" s="72"/>
      <c r="P32" s="72"/>
      <c r="Q32" s="72"/>
      <c r="R32" s="72"/>
      <c r="S32" s="72"/>
      <c r="T32" s="72"/>
      <c r="U32" s="72"/>
      <c r="V32" s="76"/>
      <c r="W32" s="74"/>
      <c r="X32" s="17"/>
    </row>
    <row r="33" spans="1:24" s="18" customFormat="1" thickBot="1">
      <c r="A33" s="78" t="s">
        <v>9</v>
      </c>
      <c r="B33" s="75">
        <v>0.17508696373798616</v>
      </c>
      <c r="C33" s="80" t="s">
        <v>24</v>
      </c>
      <c r="D33" s="80"/>
      <c r="E33" s="80"/>
      <c r="F33" s="80"/>
      <c r="G33" s="80"/>
      <c r="H33" s="80"/>
      <c r="I33" s="80"/>
      <c r="J33" s="80"/>
      <c r="K33" s="72"/>
      <c r="L33" s="72"/>
      <c r="M33" s="72"/>
      <c r="N33" s="72"/>
      <c r="O33" s="72"/>
      <c r="P33" s="72"/>
      <c r="Q33" s="72"/>
      <c r="R33" s="72"/>
      <c r="S33" s="72"/>
      <c r="T33" s="72"/>
      <c r="U33" s="72"/>
      <c r="V33" s="76"/>
      <c r="W33" s="74"/>
      <c r="X33" s="17"/>
    </row>
    <row r="34" spans="1:24" s="18" customFormat="1" thickBot="1">
      <c r="A34" s="83" t="s">
        <v>25</v>
      </c>
      <c r="B34" s="84">
        <v>1.1782998905631012</v>
      </c>
      <c r="C34" s="85"/>
      <c r="D34" s="86"/>
      <c r="E34" s="85"/>
      <c r="F34" s="85"/>
      <c r="G34" s="85"/>
      <c r="H34" s="85"/>
      <c r="I34" s="85"/>
      <c r="J34" s="85"/>
      <c r="K34" s="72"/>
      <c r="L34" s="72"/>
      <c r="M34" s="72"/>
      <c r="N34" s="72"/>
      <c r="O34" s="72"/>
      <c r="P34" s="72"/>
      <c r="Q34" s="72"/>
      <c r="R34" s="72"/>
      <c r="S34" s="72"/>
      <c r="T34" s="72"/>
      <c r="U34" s="72"/>
      <c r="V34" s="76"/>
      <c r="W34" s="74"/>
      <c r="X34" s="17"/>
    </row>
    <row r="35" spans="1:24" s="18" customFormat="1" thickBot="1">
      <c r="A35" s="87"/>
      <c r="B35" s="88"/>
      <c r="D35" s="89"/>
      <c r="V35" s="90"/>
      <c r="W35" s="91"/>
      <c r="X35" s="17"/>
    </row>
    <row r="36" spans="1:24" s="18" customFormat="1" thickBot="1">
      <c r="A36" s="138" t="s">
        <v>40</v>
      </c>
      <c r="B36" s="139"/>
      <c r="C36" s="71"/>
      <c r="D36" s="92"/>
      <c r="E36" s="71"/>
      <c r="F36" s="71"/>
      <c r="G36" s="71"/>
      <c r="H36" s="71"/>
      <c r="I36" s="72"/>
      <c r="J36" s="72"/>
      <c r="K36" s="66"/>
      <c r="L36" s="66"/>
      <c r="M36" s="66"/>
      <c r="N36" s="66"/>
      <c r="O36" s="66"/>
      <c r="P36" s="66"/>
      <c r="Q36" s="66"/>
      <c r="R36" s="66"/>
      <c r="S36" s="66"/>
      <c r="T36" s="66"/>
      <c r="U36" s="66"/>
      <c r="V36" s="73"/>
      <c r="W36" s="74"/>
      <c r="X36" s="17"/>
    </row>
    <row r="37" spans="1:24" s="18" customFormat="1" thickBot="1">
      <c r="A37" s="93" t="s">
        <v>10</v>
      </c>
      <c r="B37" s="94">
        <v>8.5000000000000006E-2</v>
      </c>
      <c r="C37" s="71"/>
      <c r="D37" s="71"/>
      <c r="E37" s="71"/>
      <c r="F37" s="71"/>
      <c r="G37" s="71"/>
      <c r="H37" s="71"/>
      <c r="I37" s="72"/>
      <c r="J37" s="72"/>
      <c r="K37" s="72"/>
      <c r="L37" s="72"/>
      <c r="M37" s="72"/>
      <c r="N37" s="72"/>
      <c r="O37" s="72"/>
      <c r="P37" s="72"/>
      <c r="Q37" s="72"/>
      <c r="R37" s="72"/>
      <c r="S37" s="72"/>
      <c r="T37" s="72"/>
      <c r="U37" s="72"/>
      <c r="V37" s="76"/>
      <c r="W37" s="74"/>
      <c r="X37" s="17"/>
    </row>
    <row r="38" spans="1:24" s="18" customFormat="1" thickBot="1">
      <c r="A38" s="140" t="s">
        <v>23</v>
      </c>
      <c r="B38" s="141"/>
      <c r="C38" s="72"/>
      <c r="D38" s="72"/>
      <c r="E38" s="72"/>
      <c r="F38" s="72"/>
      <c r="G38" s="72"/>
      <c r="H38" s="72"/>
      <c r="I38" s="72"/>
      <c r="J38" s="72"/>
      <c r="K38" s="72"/>
      <c r="L38" s="72"/>
      <c r="M38" s="72"/>
      <c r="N38" s="72"/>
      <c r="O38" s="72"/>
      <c r="P38" s="72"/>
      <c r="Q38" s="72"/>
      <c r="R38" s="72"/>
      <c r="S38" s="72"/>
      <c r="T38" s="72"/>
      <c r="U38" s="72"/>
      <c r="V38" s="76"/>
      <c r="W38" s="74"/>
      <c r="X38" s="17"/>
    </row>
    <row r="39" spans="1:24" s="18" customFormat="1" thickBot="1">
      <c r="A39" s="13" t="s">
        <v>7</v>
      </c>
      <c r="B39" s="95">
        <v>43224838.561233349</v>
      </c>
      <c r="C39" s="80" t="s">
        <v>1</v>
      </c>
      <c r="D39" s="80"/>
      <c r="E39" s="80"/>
      <c r="F39" s="80"/>
      <c r="G39" s="80"/>
      <c r="H39" s="80"/>
      <c r="I39" s="80"/>
      <c r="J39" s="80"/>
      <c r="K39" s="72"/>
      <c r="L39" s="72"/>
      <c r="M39" s="72"/>
      <c r="N39" s="72"/>
      <c r="O39" s="72"/>
      <c r="P39" s="72"/>
      <c r="Q39" s="72"/>
      <c r="R39" s="72"/>
      <c r="S39" s="72"/>
      <c r="T39" s="72"/>
      <c r="U39" s="72"/>
      <c r="V39" s="76"/>
      <c r="W39" s="74"/>
      <c r="X39" s="17"/>
    </row>
    <row r="40" spans="1:24" s="18" customFormat="1" thickBot="1">
      <c r="A40" s="51" t="s">
        <v>8</v>
      </c>
      <c r="B40" s="96">
        <v>0.38735275605929387</v>
      </c>
      <c r="C40" s="82" t="s">
        <v>24</v>
      </c>
      <c r="D40" s="82"/>
      <c r="E40" s="82"/>
      <c r="F40" s="82"/>
      <c r="G40" s="82"/>
      <c r="H40" s="82"/>
      <c r="I40" s="82"/>
      <c r="J40" s="82"/>
      <c r="K40" s="72"/>
      <c r="L40" s="72"/>
      <c r="M40" s="72"/>
      <c r="N40" s="72"/>
      <c r="O40" s="72"/>
      <c r="P40" s="72"/>
      <c r="Q40" s="72"/>
      <c r="R40" s="72"/>
      <c r="S40" s="72"/>
      <c r="T40" s="72"/>
      <c r="U40" s="72"/>
      <c r="V40" s="76"/>
      <c r="W40" s="74"/>
      <c r="X40" s="17"/>
    </row>
    <row r="41" spans="1:24" s="18" customFormat="1" thickBot="1">
      <c r="A41" s="83" t="s">
        <v>9</v>
      </c>
      <c r="B41" s="97">
        <v>0.18307302866492314</v>
      </c>
      <c r="C41" s="80" t="s">
        <v>24</v>
      </c>
      <c r="D41" s="80"/>
      <c r="E41" s="80"/>
      <c r="F41" s="80"/>
      <c r="G41" s="80"/>
      <c r="H41" s="80"/>
      <c r="I41" s="80"/>
      <c r="J41" s="80"/>
      <c r="K41" s="72"/>
      <c r="L41" s="72"/>
      <c r="M41" s="72"/>
      <c r="N41" s="72"/>
      <c r="O41" s="72"/>
      <c r="P41" s="72"/>
      <c r="Q41" s="72"/>
      <c r="R41" s="72"/>
      <c r="S41" s="72"/>
      <c r="T41" s="72"/>
      <c r="U41" s="72"/>
      <c r="V41" s="76"/>
      <c r="W41" s="74"/>
      <c r="X41" s="17"/>
    </row>
    <row r="42" spans="1:24" ht="15.75" thickBot="1"/>
    <row r="43" spans="1:24" s="18" customFormat="1" thickBot="1">
      <c r="A43" s="138" t="s">
        <v>41</v>
      </c>
      <c r="B43" s="139"/>
      <c r="C43" s="71"/>
      <c r="D43" s="71"/>
      <c r="E43" s="71"/>
      <c r="F43" s="71"/>
      <c r="G43" s="71"/>
      <c r="H43" s="71"/>
      <c r="I43" s="72"/>
      <c r="J43" s="72"/>
      <c r="K43" s="66"/>
      <c r="L43" s="66"/>
      <c r="M43" s="66"/>
      <c r="N43" s="66"/>
      <c r="O43" s="66"/>
      <c r="P43" s="66"/>
      <c r="Q43" s="66"/>
      <c r="R43" s="66"/>
      <c r="S43" s="66"/>
      <c r="T43" s="66"/>
      <c r="U43" s="66"/>
      <c r="V43" s="73"/>
      <c r="W43" s="74"/>
      <c r="X43" s="17"/>
    </row>
    <row r="44" spans="1:24" s="18" customFormat="1" thickBot="1">
      <c r="A44" s="93" t="s">
        <v>10</v>
      </c>
      <c r="B44" s="94">
        <v>8.5000000000000006E-2</v>
      </c>
      <c r="C44" s="71"/>
      <c r="D44" s="71"/>
      <c r="E44" s="71"/>
      <c r="F44" s="71"/>
      <c r="G44" s="71"/>
      <c r="H44" s="71"/>
      <c r="I44" s="72"/>
      <c r="J44" s="72"/>
      <c r="K44" s="72"/>
      <c r="L44" s="72"/>
      <c r="M44" s="72"/>
      <c r="N44" s="72"/>
      <c r="O44" s="72"/>
      <c r="P44" s="72"/>
      <c r="Q44" s="72"/>
      <c r="R44" s="72"/>
      <c r="S44" s="72"/>
      <c r="T44" s="72"/>
      <c r="U44" s="72"/>
      <c r="V44" s="76"/>
      <c r="W44" s="74"/>
      <c r="X44" s="17"/>
    </row>
    <row r="45" spans="1:24" s="18" customFormat="1" thickBot="1">
      <c r="A45" s="140" t="s">
        <v>23</v>
      </c>
      <c r="B45" s="141"/>
      <c r="C45" s="72"/>
      <c r="D45" s="72"/>
      <c r="E45" s="72"/>
      <c r="F45" s="72"/>
      <c r="G45" s="72"/>
      <c r="H45" s="72"/>
      <c r="I45" s="72"/>
      <c r="J45" s="72"/>
      <c r="K45" s="72"/>
      <c r="L45" s="72"/>
      <c r="M45" s="72"/>
      <c r="N45" s="72"/>
      <c r="O45" s="72"/>
      <c r="P45" s="72"/>
      <c r="Q45" s="72"/>
      <c r="R45" s="72"/>
      <c r="S45" s="72"/>
      <c r="T45" s="72"/>
      <c r="U45" s="72"/>
      <c r="V45" s="76"/>
      <c r="W45" s="74"/>
      <c r="X45" s="17"/>
    </row>
    <row r="46" spans="1:24" s="18" customFormat="1" thickBot="1">
      <c r="A46" s="13" t="s">
        <v>7</v>
      </c>
      <c r="B46" s="95">
        <v>47867879.074706115</v>
      </c>
      <c r="C46" s="80" t="s">
        <v>1</v>
      </c>
      <c r="D46" s="80"/>
      <c r="E46" s="80"/>
      <c r="F46" s="80"/>
      <c r="G46" s="80"/>
      <c r="H46" s="80"/>
      <c r="I46" s="80"/>
      <c r="J46" s="80"/>
      <c r="K46" s="72"/>
      <c r="L46" s="72"/>
      <c r="M46" s="72"/>
      <c r="N46" s="72"/>
      <c r="O46" s="72"/>
      <c r="P46" s="72"/>
      <c r="Q46" s="72"/>
      <c r="R46" s="72"/>
      <c r="S46" s="72"/>
      <c r="T46" s="72"/>
      <c r="U46" s="72"/>
      <c r="V46" s="76"/>
      <c r="W46" s="74"/>
      <c r="X46" s="17"/>
    </row>
    <row r="47" spans="1:24" s="18" customFormat="1" thickBot="1">
      <c r="A47" s="51" t="s">
        <v>8</v>
      </c>
      <c r="B47" s="96">
        <v>0.41887880446323483</v>
      </c>
      <c r="C47" s="82" t="s">
        <v>24</v>
      </c>
      <c r="D47" s="82"/>
      <c r="E47" s="82"/>
      <c r="F47" s="82"/>
      <c r="G47" s="82"/>
      <c r="H47" s="82"/>
      <c r="I47" s="82"/>
      <c r="J47" s="82"/>
      <c r="K47" s="72"/>
      <c r="L47" s="72"/>
      <c r="M47" s="72"/>
      <c r="N47" s="72"/>
      <c r="O47" s="72"/>
      <c r="P47" s="72"/>
      <c r="Q47" s="72"/>
      <c r="R47" s="72"/>
      <c r="S47" s="72"/>
      <c r="T47" s="72"/>
      <c r="U47" s="72"/>
      <c r="V47" s="76"/>
      <c r="W47" s="74"/>
      <c r="X47" s="17"/>
    </row>
    <row r="48" spans="1:24" s="18" customFormat="1" thickBot="1">
      <c r="A48" s="83" t="s">
        <v>9</v>
      </c>
      <c r="B48" s="97">
        <v>0.19086965199100048</v>
      </c>
      <c r="C48" s="80" t="s">
        <v>24</v>
      </c>
      <c r="D48" s="80"/>
      <c r="E48" s="80"/>
      <c r="F48" s="80"/>
      <c r="G48" s="80"/>
      <c r="H48" s="80"/>
      <c r="I48" s="80"/>
      <c r="J48" s="80"/>
      <c r="K48" s="72"/>
      <c r="L48" s="72"/>
      <c r="M48" s="72"/>
      <c r="N48" s="72"/>
      <c r="O48" s="72"/>
      <c r="P48" s="72"/>
      <c r="Q48" s="72"/>
      <c r="R48" s="72"/>
      <c r="S48" s="72"/>
      <c r="T48" s="72"/>
      <c r="U48" s="72"/>
      <c r="V48" s="76"/>
      <c r="W48" s="74"/>
      <c r="X48" s="17"/>
    </row>
    <row r="51" spans="1:24" s="102" customFormat="1" ht="13.5" thickBot="1">
      <c r="B51" s="103" t="s">
        <v>26</v>
      </c>
      <c r="C51" s="104"/>
      <c r="D51" s="104"/>
      <c r="E51" s="104"/>
      <c r="F51" s="104"/>
      <c r="G51" s="104"/>
      <c r="H51" s="104"/>
      <c r="I51" s="104"/>
      <c r="J51" s="104"/>
      <c r="K51" s="104"/>
      <c r="L51" s="104"/>
      <c r="M51" s="104"/>
      <c r="N51" s="104"/>
      <c r="O51" s="104"/>
      <c r="P51" s="104"/>
      <c r="Q51" s="104"/>
      <c r="R51" s="104"/>
      <c r="S51" s="104"/>
      <c r="T51" s="104"/>
      <c r="U51" s="104"/>
      <c r="V51" s="105"/>
      <c r="W51" s="106"/>
      <c r="X51" s="107"/>
    </row>
    <row r="52" spans="1:24" s="102" customFormat="1" ht="12.75">
      <c r="B52" s="108" t="s">
        <v>27</v>
      </c>
      <c r="C52" s="109">
        <v>0</v>
      </c>
      <c r="D52" s="110">
        <v>1</v>
      </c>
      <c r="E52" s="110">
        <v>2</v>
      </c>
      <c r="F52" s="110">
        <v>3</v>
      </c>
      <c r="G52" s="110">
        <v>4</v>
      </c>
      <c r="H52" s="110">
        <v>5</v>
      </c>
      <c r="I52" s="110">
        <v>6</v>
      </c>
      <c r="J52" s="110">
        <v>7</v>
      </c>
      <c r="K52" s="110">
        <v>8</v>
      </c>
      <c r="L52" s="110">
        <v>9</v>
      </c>
      <c r="M52" s="110">
        <v>10</v>
      </c>
      <c r="N52" s="110">
        <v>11</v>
      </c>
      <c r="O52" s="110">
        <v>12</v>
      </c>
      <c r="P52" s="110">
        <v>13</v>
      </c>
      <c r="Q52" s="110">
        <v>14</v>
      </c>
      <c r="R52" s="110">
        <v>15</v>
      </c>
      <c r="S52" s="110">
        <v>16</v>
      </c>
      <c r="T52" s="110">
        <v>17</v>
      </c>
      <c r="U52" s="110">
        <v>18</v>
      </c>
      <c r="V52" s="110">
        <v>19</v>
      </c>
      <c r="W52" s="111">
        <v>20</v>
      </c>
      <c r="X52" s="107"/>
    </row>
    <row r="53" spans="1:24" s="102" customFormat="1" ht="12.75">
      <c r="B53" s="108" t="s">
        <v>28</v>
      </c>
      <c r="C53" s="112">
        <v>-6201000</v>
      </c>
      <c r="D53" s="113"/>
      <c r="E53" s="113"/>
      <c r="F53" s="113"/>
      <c r="G53" s="113"/>
      <c r="H53" s="113"/>
      <c r="I53" s="113"/>
      <c r="J53" s="113"/>
      <c r="K53" s="113"/>
      <c r="L53" s="113"/>
      <c r="M53" s="113"/>
      <c r="N53" s="113"/>
      <c r="O53" s="113"/>
      <c r="P53" s="113"/>
      <c r="Q53" s="113"/>
      <c r="R53" s="113"/>
      <c r="S53" s="113"/>
      <c r="T53" s="113"/>
      <c r="U53" s="113"/>
      <c r="V53" s="113"/>
      <c r="W53" s="114"/>
      <c r="X53" s="107"/>
    </row>
    <row r="54" spans="1:24" s="102" customFormat="1" ht="12.75">
      <c r="B54" s="108" t="s">
        <v>29</v>
      </c>
      <c r="D54" s="115">
        <v>-3641413.2426</v>
      </c>
      <c r="E54" s="115">
        <v>-3577526.4852000028</v>
      </c>
      <c r="F54" s="115">
        <v>-1655139.7278000042</v>
      </c>
      <c r="G54" s="115">
        <v>6047947.0296000019</v>
      </c>
      <c r="H54" s="115">
        <v>7559933.7870000005</v>
      </c>
      <c r="I54" s="115">
        <v>7559933.7870000005</v>
      </c>
      <c r="J54" s="115">
        <v>7559933.7870000005</v>
      </c>
      <c r="K54" s="115">
        <v>7559933.7870000005</v>
      </c>
      <c r="L54" s="115">
        <v>42091696.287</v>
      </c>
      <c r="M54" s="115">
        <v>42091696.287</v>
      </c>
      <c r="N54" s="115">
        <v>42091696.287</v>
      </c>
      <c r="O54" s="115">
        <v>42091696.287</v>
      </c>
      <c r="P54" s="115">
        <v>42091696.287</v>
      </c>
      <c r="Q54" s="115">
        <v>42091696.287</v>
      </c>
      <c r="R54" s="115">
        <v>42091696.287</v>
      </c>
      <c r="S54" s="115">
        <v>42091696.287</v>
      </c>
      <c r="T54" s="115">
        <v>42091696.287</v>
      </c>
      <c r="U54" s="115">
        <v>42091696.287</v>
      </c>
      <c r="V54" s="115">
        <v>42091696.287</v>
      </c>
      <c r="W54" s="116">
        <v>42091696.287</v>
      </c>
      <c r="X54" s="107"/>
    </row>
    <row r="55" spans="1:24" s="102" customFormat="1" ht="13.5" thickBot="1">
      <c r="B55" s="108" t="s">
        <v>30</v>
      </c>
      <c r="C55" s="117">
        <v>-6201000</v>
      </c>
      <c r="D55" s="118">
        <v>-9842413.2425999995</v>
      </c>
      <c r="E55" s="118">
        <v>-13419939.727800002</v>
      </c>
      <c r="F55" s="118">
        <v>-15075079.455600007</v>
      </c>
      <c r="G55" s="118">
        <v>-9027132.4260000046</v>
      </c>
      <c r="H55" s="118">
        <v>-1467198.6390000042</v>
      </c>
      <c r="I55" s="118">
        <v>6092735.1479999963</v>
      </c>
      <c r="J55" s="118">
        <v>13652668.934999997</v>
      </c>
      <c r="K55" s="118">
        <v>21212602.721999995</v>
      </c>
      <c r="L55" s="118">
        <v>63304299.008999996</v>
      </c>
      <c r="M55" s="118">
        <v>105395995.296</v>
      </c>
      <c r="N55" s="118">
        <v>147487691.583</v>
      </c>
      <c r="O55" s="118">
        <v>189579387.87</v>
      </c>
      <c r="P55" s="118">
        <v>231671084.15700001</v>
      </c>
      <c r="Q55" s="118">
        <v>273762780.44400001</v>
      </c>
      <c r="R55" s="118">
        <v>315854476.73100001</v>
      </c>
      <c r="S55" s="118">
        <v>357946173.01800001</v>
      </c>
      <c r="T55" s="118">
        <v>400037869.30500001</v>
      </c>
      <c r="U55" s="118">
        <v>442129565.59200001</v>
      </c>
      <c r="V55" s="118">
        <v>484221261.87900001</v>
      </c>
      <c r="W55" s="119">
        <v>526312958.16600001</v>
      </c>
      <c r="X55" s="107"/>
    </row>
    <row r="56" spans="1:24" s="128" customFormat="1" ht="14.25">
      <c r="A56" s="120"/>
      <c r="B56" s="121"/>
      <c r="C56" s="122"/>
      <c r="D56" s="123"/>
      <c r="E56" s="124"/>
      <c r="F56" s="124"/>
      <c r="G56" s="124"/>
      <c r="H56" s="124"/>
      <c r="I56" s="124"/>
      <c r="J56" s="124"/>
      <c r="K56" s="124"/>
      <c r="L56" s="124"/>
      <c r="M56" s="124"/>
      <c r="N56" s="124"/>
      <c r="O56" s="124"/>
      <c r="P56" s="124"/>
      <c r="Q56" s="124"/>
      <c r="R56" s="124"/>
      <c r="S56" s="124"/>
      <c r="T56" s="124"/>
      <c r="U56" s="124"/>
      <c r="V56" s="125"/>
      <c r="W56" s="126"/>
      <c r="X56" s="127"/>
    </row>
    <row r="57" spans="1:24" s="128" customFormat="1" thickBot="1">
      <c r="B57" s="129" t="s">
        <v>31</v>
      </c>
      <c r="C57" s="130">
        <v>5.1940755938263621</v>
      </c>
      <c r="D57" s="127"/>
      <c r="V57" s="121"/>
      <c r="W57" s="126"/>
      <c r="X57" s="127"/>
    </row>
    <row r="58" spans="1:24" ht="15.75" thickBot="1"/>
    <row r="59" spans="1:24" s="102" customFormat="1" ht="12.75">
      <c r="A59" s="106"/>
      <c r="B59" s="143" t="s">
        <v>89</v>
      </c>
      <c r="C59" s="430"/>
      <c r="D59" s="368"/>
      <c r="E59" s="368"/>
      <c r="F59" s="368"/>
      <c r="G59" s="368"/>
      <c r="H59" s="368"/>
      <c r="I59" s="368"/>
      <c r="J59" s="368"/>
      <c r="K59" s="368"/>
      <c r="L59" s="368"/>
      <c r="M59" s="368"/>
      <c r="N59" s="368"/>
      <c r="O59" s="368"/>
      <c r="P59" s="368"/>
      <c r="Q59" s="368"/>
      <c r="R59" s="368"/>
      <c r="S59" s="368"/>
      <c r="T59" s="368"/>
      <c r="U59" s="368"/>
      <c r="V59" s="369"/>
      <c r="W59" s="370"/>
      <c r="X59" s="107"/>
    </row>
    <row r="60" spans="1:24" s="102" customFormat="1" ht="12.75">
      <c r="A60" s="106"/>
      <c r="B60" s="143" t="s">
        <v>90</v>
      </c>
      <c r="C60" s="379">
        <v>-3641413.2426</v>
      </c>
      <c r="D60" s="373">
        <v>-3577526.4852000028</v>
      </c>
      <c r="E60" s="373">
        <v>-1655139.7278000042</v>
      </c>
      <c r="F60" s="373">
        <v>6047947.0296000019</v>
      </c>
      <c r="G60" s="373">
        <v>7559933.7870000005</v>
      </c>
      <c r="H60" s="373">
        <v>7559933.7870000005</v>
      </c>
      <c r="I60" s="373"/>
      <c r="J60" s="373"/>
      <c r="K60" s="373"/>
      <c r="L60" s="373"/>
      <c r="M60" s="373"/>
      <c r="N60" s="373"/>
      <c r="O60" s="373"/>
      <c r="P60" s="373"/>
      <c r="Q60" s="373"/>
      <c r="R60" s="373"/>
      <c r="S60" s="373"/>
      <c r="T60" s="373"/>
      <c r="U60" s="373"/>
      <c r="V60" s="373"/>
      <c r="W60" s="374"/>
      <c r="X60" s="107"/>
    </row>
    <row r="61" spans="1:24" s="102" customFormat="1" ht="12.75">
      <c r="A61" s="106"/>
      <c r="B61" s="143" t="s">
        <v>91</v>
      </c>
      <c r="C61" s="379">
        <v>1240200</v>
      </c>
      <c r="D61" s="373">
        <v>1240200</v>
      </c>
      <c r="E61" s="373">
        <v>1240200</v>
      </c>
      <c r="F61" s="373">
        <v>1240200</v>
      </c>
      <c r="G61" s="373">
        <v>1240200</v>
      </c>
      <c r="H61" s="373">
        <v>0</v>
      </c>
      <c r="I61" s="373"/>
      <c r="V61" s="150"/>
      <c r="W61" s="376"/>
      <c r="X61" s="107"/>
    </row>
    <row r="62" spans="1:24" s="102" customFormat="1" ht="12.75">
      <c r="A62" s="106"/>
      <c r="B62" s="143" t="s">
        <v>92</v>
      </c>
      <c r="C62" s="379">
        <v>-309520.12562100001</v>
      </c>
      <c r="D62" s="373">
        <v>-304089.75124200026</v>
      </c>
      <c r="E62" s="373">
        <v>-140686.87686300036</v>
      </c>
      <c r="F62" s="373">
        <v>514075.49751600018</v>
      </c>
      <c r="G62" s="373">
        <v>642594.37189500011</v>
      </c>
      <c r="H62" s="373">
        <v>642594.37189500011</v>
      </c>
      <c r="W62" s="378"/>
      <c r="X62" s="107"/>
    </row>
    <row r="63" spans="1:24" s="102" customFormat="1" ht="12.75">
      <c r="A63" s="106"/>
      <c r="B63" s="143" t="s">
        <v>93</v>
      </c>
      <c r="C63" s="379">
        <v>930679.87437899993</v>
      </c>
      <c r="D63" s="373">
        <v>936110.24875799974</v>
      </c>
      <c r="E63" s="373">
        <v>1099513.1231369996</v>
      </c>
      <c r="F63" s="373">
        <v>1754275.4975160002</v>
      </c>
      <c r="G63" s="373">
        <v>1882794.3718950001</v>
      </c>
      <c r="H63" s="373">
        <v>642594.37189500011</v>
      </c>
      <c r="V63" s="150"/>
      <c r="W63" s="376"/>
      <c r="X63" s="107"/>
    </row>
    <row r="64" spans="1:24" s="102" customFormat="1" ht="12.75">
      <c r="A64" s="106"/>
      <c r="B64" s="381" t="s">
        <v>89</v>
      </c>
      <c r="C64" s="382">
        <v>-3.9126377853929077</v>
      </c>
      <c r="D64" s="383">
        <v>-3.8216935344384351</v>
      </c>
      <c r="E64" s="383">
        <v>-1.505338765832787</v>
      </c>
      <c r="F64" s="383">
        <v>3.4475468865430248</v>
      </c>
      <c r="G64" s="383">
        <v>4.0152732023471351</v>
      </c>
      <c r="H64" s="383">
        <v>11.76470588235294</v>
      </c>
      <c r="I64" s="384">
        <v>11.76470588235294</v>
      </c>
      <c r="J64" s="384">
        <v>11.76470588235294</v>
      </c>
      <c r="K64" s="384">
        <v>11.76470588235294</v>
      </c>
      <c r="L64" s="384">
        <v>11.76470588235294</v>
      </c>
      <c r="M64" s="384">
        <v>11.76470588235294</v>
      </c>
      <c r="N64" s="384">
        <v>11.76470588235294</v>
      </c>
      <c r="O64" s="384">
        <v>11.76470588235294</v>
      </c>
      <c r="P64" s="384">
        <v>11.76470588235294</v>
      </c>
      <c r="Q64" s="384">
        <v>11.76470588235294</v>
      </c>
      <c r="R64" s="384">
        <v>11.76470588235294</v>
      </c>
      <c r="S64" s="384">
        <v>11.76470588235294</v>
      </c>
      <c r="T64" s="384">
        <v>11.76470588235294</v>
      </c>
      <c r="U64" s="384">
        <v>11.76470588235294</v>
      </c>
      <c r="V64" s="384">
        <v>11.76470588235294</v>
      </c>
      <c r="W64" s="385">
        <v>11.76470588235294</v>
      </c>
      <c r="X64" s="107"/>
    </row>
    <row r="65" spans="1:23">
      <c r="A65" s="106"/>
      <c r="B65" s="106"/>
      <c r="C65" s="386"/>
      <c r="D65" s="102"/>
      <c r="E65" s="102"/>
      <c r="F65" s="102"/>
      <c r="G65" s="102"/>
      <c r="H65" s="102"/>
      <c r="I65" s="102"/>
      <c r="J65" s="102"/>
      <c r="K65" s="102"/>
      <c r="L65" s="102"/>
      <c r="M65" s="102"/>
      <c r="N65" s="102"/>
      <c r="O65" s="102"/>
      <c r="P65" s="102"/>
      <c r="Q65" s="102"/>
      <c r="R65" s="102"/>
      <c r="S65" s="102"/>
      <c r="T65" s="102"/>
      <c r="U65" s="102"/>
      <c r="V65" s="150"/>
      <c r="W65" s="376"/>
    </row>
    <row r="66" spans="1:23" ht="15.75" thickBot="1">
      <c r="A66" s="106"/>
      <c r="B66" s="381" t="s">
        <v>94</v>
      </c>
      <c r="C66" s="387">
        <v>8.878973529565382</v>
      </c>
      <c r="D66" s="388"/>
      <c r="E66" s="388"/>
      <c r="F66" s="388"/>
      <c r="G66" s="388"/>
      <c r="H66" s="388"/>
      <c r="I66" s="388"/>
      <c r="J66" s="388"/>
      <c r="K66" s="388"/>
      <c r="L66" s="388"/>
      <c r="M66" s="388"/>
      <c r="N66" s="388"/>
      <c r="O66" s="388"/>
      <c r="P66" s="388"/>
      <c r="Q66" s="388"/>
      <c r="R66" s="388"/>
      <c r="S66" s="388"/>
      <c r="T66" s="388"/>
      <c r="U66" s="388"/>
      <c r="V66" s="389"/>
      <c r="W66" s="390"/>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dimension ref="A1:X76"/>
  <sheetViews>
    <sheetView showGridLines="0" zoomScale="70" zoomScaleNormal="70" workbookViewId="0">
      <selection sqref="A1:XFD1048576"/>
    </sheetView>
  </sheetViews>
  <sheetFormatPr defaultColWidth="9" defaultRowHeight="15"/>
  <cols>
    <col min="1" max="1" width="76.140625" style="98" customWidth="1"/>
    <col min="2" max="2" width="13.5703125" style="98" customWidth="1"/>
    <col min="3" max="4" width="16.85546875" style="98" bestFit="1" customWidth="1"/>
    <col min="5" max="6" width="16.7109375" style="98" bestFit="1" customWidth="1"/>
    <col min="7" max="21" width="17.28515625" style="98" customWidth="1"/>
    <col min="22" max="22" width="17.28515625" style="99" customWidth="1"/>
    <col min="23" max="23" width="23.140625" style="100" customWidth="1"/>
    <col min="24" max="24" width="9" style="101"/>
    <col min="25" max="16384" width="9" style="98"/>
  </cols>
  <sheetData>
    <row r="1" spans="1:24" s="18" customFormat="1" ht="15.75" thickBot="1">
      <c r="A1" s="131" t="s">
        <v>32</v>
      </c>
      <c r="B1" s="132"/>
      <c r="C1" s="132"/>
      <c r="D1" s="132"/>
      <c r="E1" s="132"/>
      <c r="F1" s="132"/>
      <c r="G1" s="132"/>
      <c r="H1" s="132"/>
      <c r="I1" s="132"/>
      <c r="J1" s="132"/>
      <c r="K1" s="132"/>
      <c r="L1" s="132"/>
      <c r="M1" s="132"/>
      <c r="N1" s="132"/>
      <c r="O1" s="132"/>
      <c r="P1" s="132"/>
      <c r="Q1" s="132"/>
      <c r="R1" s="132"/>
      <c r="S1" s="132"/>
      <c r="T1" s="132"/>
      <c r="U1" s="132"/>
      <c r="V1" s="132"/>
      <c r="W1" s="133"/>
      <c r="X1" s="17"/>
    </row>
    <row r="2" spans="1:24" s="18" customFormat="1" ht="14.25">
      <c r="A2" s="19"/>
      <c r="B2" s="20" t="s">
        <v>12</v>
      </c>
      <c r="C2" s="20"/>
      <c r="D2" s="20"/>
      <c r="E2" s="20"/>
      <c r="F2" s="20"/>
      <c r="G2" s="20"/>
      <c r="H2" s="20"/>
      <c r="I2" s="20"/>
      <c r="J2" s="20"/>
      <c r="K2" s="20"/>
      <c r="L2" s="20"/>
      <c r="M2" s="20"/>
      <c r="N2" s="20"/>
      <c r="O2" s="20"/>
      <c r="P2" s="20"/>
      <c r="Q2" s="20"/>
      <c r="R2" s="20"/>
      <c r="S2" s="20"/>
      <c r="T2" s="20"/>
      <c r="U2" s="20"/>
      <c r="V2" s="21"/>
      <c r="W2" s="22"/>
      <c r="X2" s="17"/>
    </row>
    <row r="3" spans="1:24" s="18" customFormat="1" ht="14.25">
      <c r="A3" s="23"/>
      <c r="B3" s="24"/>
      <c r="C3" s="25">
        <v>2023</v>
      </c>
      <c r="D3" s="25">
        <v>2024</v>
      </c>
      <c r="E3" s="25">
        <v>2025</v>
      </c>
      <c r="F3" s="25">
        <v>2026</v>
      </c>
      <c r="G3" s="25">
        <v>2027</v>
      </c>
      <c r="H3" s="25">
        <v>2028</v>
      </c>
      <c r="I3" s="25">
        <v>2029</v>
      </c>
      <c r="J3" s="25">
        <v>2030</v>
      </c>
      <c r="K3" s="25">
        <v>2031</v>
      </c>
      <c r="L3" s="25">
        <v>2032</v>
      </c>
      <c r="M3" s="25">
        <v>2033</v>
      </c>
      <c r="N3" s="25">
        <v>2034</v>
      </c>
      <c r="O3" s="25">
        <v>2035</v>
      </c>
      <c r="P3" s="25">
        <v>2036</v>
      </c>
      <c r="Q3" s="25">
        <v>2037</v>
      </c>
      <c r="R3" s="25">
        <v>2038</v>
      </c>
      <c r="S3" s="25">
        <v>2039</v>
      </c>
      <c r="T3" s="25">
        <v>2040</v>
      </c>
      <c r="U3" s="25">
        <v>2041</v>
      </c>
      <c r="V3" s="26">
        <v>2042</v>
      </c>
      <c r="W3" s="27"/>
      <c r="X3" s="17"/>
    </row>
    <row r="4" spans="1:24" s="18" customFormat="1" ht="14.25">
      <c r="A4" s="28" t="s">
        <v>42</v>
      </c>
      <c r="B4" s="29"/>
      <c r="C4" s="30"/>
      <c r="D4" s="30"/>
      <c r="E4" s="30"/>
      <c r="F4" s="30"/>
      <c r="G4" s="30"/>
      <c r="H4" s="30"/>
      <c r="I4" s="30"/>
      <c r="J4" s="31"/>
      <c r="K4" s="32"/>
      <c r="L4" s="32"/>
      <c r="M4" s="32"/>
      <c r="N4" s="32"/>
      <c r="O4" s="32"/>
      <c r="P4" s="32"/>
      <c r="Q4" s="32"/>
      <c r="R4" s="32"/>
      <c r="S4" s="32"/>
      <c r="T4" s="32"/>
      <c r="U4" s="32"/>
      <c r="V4" s="33"/>
      <c r="W4" s="34"/>
      <c r="X4" s="17"/>
    </row>
    <row r="5" spans="1:24" s="18" customFormat="1" ht="14.25">
      <c r="A5" s="28" t="s">
        <v>13</v>
      </c>
      <c r="B5" s="35" t="s">
        <v>1</v>
      </c>
      <c r="C5" s="36">
        <v>79972.614219130439</v>
      </c>
      <c r="D5" s="36">
        <v>370984.07151652174</v>
      </c>
      <c r="E5" s="36">
        <v>714755.23958347819</v>
      </c>
      <c r="F5" s="36">
        <v>1164045.8291895653</v>
      </c>
      <c r="G5" s="36">
        <v>1455057.2864869565</v>
      </c>
      <c r="H5" s="36">
        <v>1455057.2864869565</v>
      </c>
      <c r="I5" s="36">
        <v>1455057.2864869565</v>
      </c>
      <c r="J5" s="36">
        <v>1455057.2864869565</v>
      </c>
      <c r="K5" s="36">
        <v>1455057.2864869565</v>
      </c>
      <c r="L5" s="36">
        <v>1455057.2864869565</v>
      </c>
      <c r="M5" s="36">
        <v>1455057.2864869565</v>
      </c>
      <c r="N5" s="36">
        <v>1455057.2864869565</v>
      </c>
      <c r="O5" s="36">
        <v>1455057.2864869565</v>
      </c>
      <c r="P5" s="36">
        <v>1455057.2864869565</v>
      </c>
      <c r="Q5" s="36">
        <v>1455057.2864869565</v>
      </c>
      <c r="R5" s="36">
        <v>1455057.2864869565</v>
      </c>
      <c r="S5" s="36">
        <v>1455057.2864869565</v>
      </c>
      <c r="T5" s="36">
        <v>1455057.2864869565</v>
      </c>
      <c r="U5" s="36">
        <v>1455057.2864869565</v>
      </c>
      <c r="V5" s="37">
        <v>1455057.2864869565</v>
      </c>
      <c r="W5" s="5"/>
      <c r="X5" s="17"/>
    </row>
    <row r="6" spans="1:24" s="18" customFormat="1" ht="14.25">
      <c r="A6" s="38" t="s">
        <v>14</v>
      </c>
      <c r="B6" s="35" t="s">
        <v>1</v>
      </c>
      <c r="C6" s="36">
        <v>27348.184759230771</v>
      </c>
      <c r="D6" s="36">
        <v>85811.070741538468</v>
      </c>
      <c r="E6" s="36">
        <v>362076.86528538459</v>
      </c>
      <c r="F6" s="36">
        <v>607227.95860615384</v>
      </c>
      <c r="G6" s="36">
        <v>759034.94825769239</v>
      </c>
      <c r="H6" s="36">
        <v>759034.94825769239</v>
      </c>
      <c r="I6" s="36">
        <v>759034.94825769239</v>
      </c>
      <c r="J6" s="36">
        <v>759034.94825769239</v>
      </c>
      <c r="K6" s="36">
        <v>759034.94825769239</v>
      </c>
      <c r="L6" s="36">
        <v>759034.94825769239</v>
      </c>
      <c r="M6" s="36">
        <v>759034.94825769239</v>
      </c>
      <c r="N6" s="36">
        <v>759034.94825769239</v>
      </c>
      <c r="O6" s="36">
        <v>759034.94825769239</v>
      </c>
      <c r="P6" s="36">
        <v>759034.94825769239</v>
      </c>
      <c r="Q6" s="36">
        <v>759034.94825769239</v>
      </c>
      <c r="R6" s="36">
        <v>759034.94825769239</v>
      </c>
      <c r="S6" s="36">
        <v>759034.94825769239</v>
      </c>
      <c r="T6" s="36">
        <v>759034.94825769239</v>
      </c>
      <c r="U6" s="36">
        <v>759034.94825769239</v>
      </c>
      <c r="V6" s="37">
        <v>759034.94825769239</v>
      </c>
      <c r="W6" s="5"/>
      <c r="X6" s="17"/>
    </row>
    <row r="7" spans="1:24" s="18" customFormat="1" ht="14.25">
      <c r="A7" s="38" t="s">
        <v>15</v>
      </c>
      <c r="B7" s="35" t="s">
        <v>1</v>
      </c>
      <c r="C7" s="36">
        <v>43352.157876363635</v>
      </c>
      <c r="D7" s="36">
        <v>204374.45856</v>
      </c>
      <c r="E7" s="36">
        <v>394814.29494545457</v>
      </c>
      <c r="F7" s="36">
        <v>879429.48834909091</v>
      </c>
      <c r="G7" s="36">
        <v>1099286.8604363636</v>
      </c>
      <c r="H7" s="36">
        <v>1099286.8604363636</v>
      </c>
      <c r="I7" s="36">
        <v>1099286.8604363636</v>
      </c>
      <c r="J7" s="36">
        <v>1099286.8604363636</v>
      </c>
      <c r="K7" s="36">
        <v>1099286.8604363636</v>
      </c>
      <c r="L7" s="36">
        <v>1099286.8604363636</v>
      </c>
      <c r="M7" s="36">
        <v>1099286.8604363636</v>
      </c>
      <c r="N7" s="36">
        <v>1099286.8604363636</v>
      </c>
      <c r="O7" s="36">
        <v>1099286.8604363636</v>
      </c>
      <c r="P7" s="36">
        <v>1099286.8604363636</v>
      </c>
      <c r="Q7" s="36">
        <v>1099286.8604363636</v>
      </c>
      <c r="R7" s="36">
        <v>1099286.8604363636</v>
      </c>
      <c r="S7" s="36">
        <v>1099286.8604363636</v>
      </c>
      <c r="T7" s="36">
        <v>1099286.8604363636</v>
      </c>
      <c r="U7" s="36">
        <v>1099286.8604363636</v>
      </c>
      <c r="V7" s="37">
        <v>1099286.8604363636</v>
      </c>
      <c r="W7" s="5"/>
      <c r="X7" s="17"/>
    </row>
    <row r="8" spans="1:24" s="18" customFormat="1" ht="14.25">
      <c r="A8" s="39" t="s">
        <v>16</v>
      </c>
      <c r="B8" s="40" t="s">
        <v>1</v>
      </c>
      <c r="C8" s="36">
        <v>31442.224393846154</v>
      </c>
      <c r="D8" s="36">
        <v>311802.05857230769</v>
      </c>
      <c r="E8" s="36">
        <v>654391.29519692319</v>
      </c>
      <c r="F8" s="36">
        <v>1121439.3367138461</v>
      </c>
      <c r="G8" s="36">
        <v>1401799.1708923078</v>
      </c>
      <c r="H8" s="36">
        <v>1401799.1708923078</v>
      </c>
      <c r="I8" s="36">
        <v>1401799.1708923078</v>
      </c>
      <c r="J8" s="36">
        <v>1401799.1708923078</v>
      </c>
      <c r="K8" s="36">
        <v>1401799.1708923078</v>
      </c>
      <c r="L8" s="36">
        <v>1401799.1708923078</v>
      </c>
      <c r="M8" s="36">
        <v>1401799.1708923078</v>
      </c>
      <c r="N8" s="36">
        <v>1401799.1708923078</v>
      </c>
      <c r="O8" s="36">
        <v>1401799.1708923078</v>
      </c>
      <c r="P8" s="36">
        <v>1401799.1708923078</v>
      </c>
      <c r="Q8" s="36">
        <v>1401799.1708923078</v>
      </c>
      <c r="R8" s="36">
        <v>1401799.1708923078</v>
      </c>
      <c r="S8" s="36">
        <v>1401799.1708923078</v>
      </c>
      <c r="T8" s="36">
        <v>1401799.1708923078</v>
      </c>
      <c r="U8" s="36">
        <v>1401799.1708923078</v>
      </c>
      <c r="V8" s="37">
        <v>1401799.1708923078</v>
      </c>
      <c r="W8" s="5"/>
      <c r="X8" s="17"/>
    </row>
    <row r="9" spans="1:24" s="18" customFormat="1" ht="14.25">
      <c r="A9" s="39" t="s">
        <v>17</v>
      </c>
      <c r="B9" s="40" t="s">
        <v>1</v>
      </c>
      <c r="C9" s="36">
        <v>333009.18387961539</v>
      </c>
      <c r="D9" s="36">
        <v>786383.13301692286</v>
      </c>
      <c r="E9" s="36">
        <v>1360121.8474119226</v>
      </c>
      <c r="F9" s="36">
        <v>2294954.8575800001</v>
      </c>
      <c r="G9" s="36">
        <v>2868693.5719750002</v>
      </c>
      <c r="H9" s="36">
        <v>2868693.5719750002</v>
      </c>
      <c r="I9" s="36">
        <v>2868693.5719750002</v>
      </c>
      <c r="J9" s="36">
        <v>2868693.5719750002</v>
      </c>
      <c r="K9" s="36">
        <v>2868693.5719750002</v>
      </c>
      <c r="L9" s="36">
        <v>2868693.5719750002</v>
      </c>
      <c r="M9" s="36">
        <v>2868693.5719750002</v>
      </c>
      <c r="N9" s="36">
        <v>2868693.5719750002</v>
      </c>
      <c r="O9" s="36">
        <v>2868693.5719750002</v>
      </c>
      <c r="P9" s="36">
        <v>2868693.5719750002</v>
      </c>
      <c r="Q9" s="36">
        <v>2868693.5719750002</v>
      </c>
      <c r="R9" s="36">
        <v>2868693.5719750002</v>
      </c>
      <c r="S9" s="36">
        <v>2868693.5719750002</v>
      </c>
      <c r="T9" s="36">
        <v>2868693.5719750002</v>
      </c>
      <c r="U9" s="36">
        <v>2868693.5719750002</v>
      </c>
      <c r="V9" s="37">
        <v>2868693.5719750002</v>
      </c>
      <c r="W9" s="5"/>
      <c r="X9" s="17"/>
    </row>
    <row r="10" spans="1:24" s="18" customFormat="1" ht="14.25">
      <c r="A10" s="53" t="s">
        <v>43</v>
      </c>
      <c r="B10" s="54" t="s">
        <v>1</v>
      </c>
      <c r="C10" s="36">
        <v>47813.013699999996</v>
      </c>
      <c r="D10" s="36">
        <v>95626.027399999992</v>
      </c>
      <c r="E10" s="36">
        <v>143439.0411</v>
      </c>
      <c r="F10" s="36">
        <v>191252.05479999998</v>
      </c>
      <c r="G10" s="36">
        <v>239065.06849999999</v>
      </c>
      <c r="H10" s="36">
        <v>239065.06849999999</v>
      </c>
      <c r="I10" s="36">
        <v>239065.06849999999</v>
      </c>
      <c r="J10" s="36">
        <v>239065.06849999999</v>
      </c>
      <c r="K10" s="36">
        <v>239065.06849999999</v>
      </c>
      <c r="L10" s="36">
        <v>239065.06849999999</v>
      </c>
      <c r="M10" s="36">
        <v>239065.06849999999</v>
      </c>
      <c r="N10" s="36">
        <v>239065.06849999999</v>
      </c>
      <c r="O10" s="36">
        <v>239065.06849999999</v>
      </c>
      <c r="P10" s="36">
        <v>239065.06849999999</v>
      </c>
      <c r="Q10" s="36">
        <v>239065.06849999999</v>
      </c>
      <c r="R10" s="36">
        <v>239065.06849999999</v>
      </c>
      <c r="S10" s="36">
        <v>239065.06849999999</v>
      </c>
      <c r="T10" s="36">
        <v>239065.06849999999</v>
      </c>
      <c r="U10" s="36">
        <v>239065.06849999999</v>
      </c>
      <c r="V10" s="37">
        <v>239065.06849999999</v>
      </c>
      <c r="W10" s="5"/>
      <c r="X10" s="17"/>
    </row>
    <row r="11" spans="1:24" s="18" customFormat="1" ht="14.25">
      <c r="A11" s="53" t="s">
        <v>19</v>
      </c>
      <c r="B11" s="54" t="s">
        <v>1</v>
      </c>
      <c r="C11" s="36">
        <v>562937.37882818643</v>
      </c>
      <c r="D11" s="36">
        <v>1854980.8198072908</v>
      </c>
      <c r="E11" s="36">
        <v>3629598.5835231631</v>
      </c>
      <c r="F11" s="36">
        <v>6258349.5252386555</v>
      </c>
      <c r="G11" s="36">
        <v>7822936.9065483203</v>
      </c>
      <c r="H11" s="36">
        <v>7822936.9065483203</v>
      </c>
      <c r="I11" s="36">
        <v>7822936.9065483203</v>
      </c>
      <c r="J11" s="36">
        <v>7822936.9065483203</v>
      </c>
      <c r="K11" s="36">
        <v>7822936.9065483203</v>
      </c>
      <c r="L11" s="36">
        <v>7822936.9065483203</v>
      </c>
      <c r="M11" s="36">
        <v>7822936.9065483203</v>
      </c>
      <c r="N11" s="36">
        <v>7822936.9065483203</v>
      </c>
      <c r="O11" s="36">
        <v>7822936.9065483203</v>
      </c>
      <c r="P11" s="36">
        <v>7822936.9065483203</v>
      </c>
      <c r="Q11" s="36">
        <v>7822936.9065483203</v>
      </c>
      <c r="R11" s="36">
        <v>7822936.9065483203</v>
      </c>
      <c r="S11" s="36">
        <v>7822936.9065483203</v>
      </c>
      <c r="T11" s="36">
        <v>7822936.9065483203</v>
      </c>
      <c r="U11" s="36">
        <v>7822936.9065483203</v>
      </c>
      <c r="V11" s="37">
        <v>7822936.9065483203</v>
      </c>
      <c r="W11" s="5"/>
      <c r="X11" s="17"/>
    </row>
    <row r="12" spans="1:24" s="18" customFormat="1" ht="14.25">
      <c r="A12" s="49"/>
      <c r="B12" s="144"/>
      <c r="C12" s="36"/>
      <c r="D12" s="36"/>
      <c r="E12" s="36"/>
      <c r="F12" s="36"/>
      <c r="G12" s="36"/>
      <c r="H12" s="36"/>
      <c r="I12" s="36"/>
      <c r="J12" s="36"/>
      <c r="K12" s="36"/>
      <c r="L12" s="36"/>
      <c r="M12" s="36"/>
      <c r="N12" s="36"/>
      <c r="O12" s="36"/>
      <c r="P12" s="36"/>
      <c r="Q12" s="36"/>
      <c r="R12" s="36"/>
      <c r="S12" s="36"/>
      <c r="T12" s="36"/>
      <c r="U12" s="36"/>
      <c r="V12" s="37"/>
      <c r="W12" s="5"/>
      <c r="X12" s="17"/>
    </row>
    <row r="13" spans="1:24" s="18" customFormat="1" ht="14.25">
      <c r="A13" s="49" t="s">
        <v>3</v>
      </c>
      <c r="B13" s="144"/>
      <c r="C13" s="36"/>
      <c r="D13" s="36"/>
      <c r="E13" s="36"/>
      <c r="F13" s="36"/>
      <c r="G13" s="36"/>
      <c r="H13" s="36"/>
      <c r="I13" s="36"/>
      <c r="J13" s="36"/>
      <c r="K13" s="36"/>
      <c r="L13" s="36"/>
      <c r="M13" s="36"/>
      <c r="N13" s="36"/>
      <c r="O13" s="36"/>
      <c r="P13" s="36"/>
      <c r="Q13" s="36"/>
      <c r="R13" s="36"/>
      <c r="S13" s="36"/>
      <c r="T13" s="36"/>
      <c r="U13" s="36"/>
      <c r="V13" s="37"/>
      <c r="W13" s="5"/>
      <c r="X13" s="17"/>
    </row>
    <row r="14" spans="1:24" s="18" customFormat="1" ht="14.25">
      <c r="A14" s="51" t="s">
        <v>35</v>
      </c>
      <c r="B14" s="35" t="s">
        <v>1</v>
      </c>
      <c r="C14" s="36">
        <v>174500.05</v>
      </c>
      <c r="D14" s="36">
        <v>174500.05</v>
      </c>
      <c r="E14" s="36">
        <v>174500.05</v>
      </c>
      <c r="F14" s="36">
        <v>174500.05</v>
      </c>
      <c r="G14" s="36">
        <v>174500.05</v>
      </c>
      <c r="H14" s="36"/>
      <c r="I14" s="36"/>
      <c r="J14" s="36"/>
      <c r="K14" s="36"/>
      <c r="L14" s="36"/>
      <c r="M14" s="36"/>
      <c r="N14" s="36"/>
      <c r="O14" s="36"/>
      <c r="P14" s="36"/>
      <c r="Q14" s="36"/>
      <c r="R14" s="36"/>
      <c r="S14" s="36"/>
      <c r="T14" s="36"/>
      <c r="U14" s="36"/>
      <c r="V14" s="37"/>
      <c r="W14" s="5"/>
      <c r="X14" s="17"/>
    </row>
    <row r="15" spans="1:24" s="18" customFormat="1" ht="14.25">
      <c r="A15" s="51" t="s">
        <v>13</v>
      </c>
      <c r="B15" s="35" t="s">
        <v>1</v>
      </c>
      <c r="C15" s="36">
        <v>246893.750763116</v>
      </c>
      <c r="D15" s="36">
        <v>493787.50152623199</v>
      </c>
      <c r="E15" s="36">
        <v>740681.25228934793</v>
      </c>
      <c r="F15" s="36">
        <v>987575.00305246399</v>
      </c>
      <c r="G15" s="36">
        <v>1234468.7538155797</v>
      </c>
      <c r="H15" s="36">
        <v>1234468.7538155797</v>
      </c>
      <c r="I15" s="36">
        <v>1234468.7538155797</v>
      </c>
      <c r="J15" s="36">
        <v>1234468.7538155797</v>
      </c>
      <c r="K15" s="36">
        <v>1234468.7538155797</v>
      </c>
      <c r="L15" s="36">
        <v>1234468.7538155797</v>
      </c>
      <c r="M15" s="36">
        <v>1234468.7538155797</v>
      </c>
      <c r="N15" s="36">
        <v>1234468.7538155797</v>
      </c>
      <c r="O15" s="36">
        <v>1234468.7538155797</v>
      </c>
      <c r="P15" s="36">
        <v>1234468.7538155797</v>
      </c>
      <c r="Q15" s="36">
        <v>1234468.7538155797</v>
      </c>
      <c r="R15" s="36">
        <v>1234468.7538155797</v>
      </c>
      <c r="S15" s="36">
        <v>1234468.7538155797</v>
      </c>
      <c r="T15" s="36">
        <v>1234468.7538155797</v>
      </c>
      <c r="U15" s="36">
        <v>1234468.7538155797</v>
      </c>
      <c r="V15" s="37">
        <v>1234468.7538155797</v>
      </c>
      <c r="W15" s="5"/>
      <c r="X15" s="17"/>
    </row>
    <row r="16" spans="1:24" s="48" customFormat="1" ht="14.25">
      <c r="A16" s="38" t="s">
        <v>14</v>
      </c>
      <c r="B16" s="35" t="s">
        <v>1</v>
      </c>
      <c r="C16" s="36">
        <v>113564.63317024223</v>
      </c>
      <c r="D16" s="36">
        <v>227129.26634048446</v>
      </c>
      <c r="E16" s="36">
        <v>340693.89951072674</v>
      </c>
      <c r="F16" s="36">
        <v>454258.53268096893</v>
      </c>
      <c r="G16" s="36">
        <v>567823.16585121118</v>
      </c>
      <c r="H16" s="36">
        <v>567823.16585121118</v>
      </c>
      <c r="I16" s="36">
        <v>567823.16585121118</v>
      </c>
      <c r="J16" s="36">
        <v>567823.16585121118</v>
      </c>
      <c r="K16" s="36">
        <v>567823.16585121118</v>
      </c>
      <c r="L16" s="36">
        <v>567823.16585121118</v>
      </c>
      <c r="M16" s="36">
        <v>567823.16585121118</v>
      </c>
      <c r="N16" s="36">
        <v>567823.16585121118</v>
      </c>
      <c r="O16" s="36">
        <v>567823.16585121118</v>
      </c>
      <c r="P16" s="36">
        <v>567823.16585121118</v>
      </c>
      <c r="Q16" s="36">
        <v>567823.16585121118</v>
      </c>
      <c r="R16" s="36">
        <v>567823.16585121118</v>
      </c>
      <c r="S16" s="36">
        <v>567823.16585121118</v>
      </c>
      <c r="T16" s="36">
        <v>567823.16585121118</v>
      </c>
      <c r="U16" s="36">
        <v>567823.16585121118</v>
      </c>
      <c r="V16" s="37">
        <v>567823.16585121118</v>
      </c>
      <c r="W16" s="5"/>
      <c r="X16" s="47"/>
    </row>
    <row r="17" spans="1:24" s="48" customFormat="1" ht="14.25">
      <c r="A17" s="38" t="s">
        <v>15</v>
      </c>
      <c r="B17" s="35" t="s">
        <v>1</v>
      </c>
      <c r="C17" s="36">
        <v>148817.63476962241</v>
      </c>
      <c r="D17" s="36">
        <v>297635.26953924482</v>
      </c>
      <c r="E17" s="36">
        <v>446452.90430886718</v>
      </c>
      <c r="F17" s="36">
        <v>595270.53907848964</v>
      </c>
      <c r="G17" s="36">
        <v>744088.17384811211</v>
      </c>
      <c r="H17" s="36">
        <v>744088.17384811211</v>
      </c>
      <c r="I17" s="36">
        <v>744088.17384811211</v>
      </c>
      <c r="J17" s="36">
        <v>744088.17384811211</v>
      </c>
      <c r="K17" s="36">
        <v>744088.17384811211</v>
      </c>
      <c r="L17" s="36">
        <v>744088.17384811211</v>
      </c>
      <c r="M17" s="36">
        <v>744088.17384811211</v>
      </c>
      <c r="N17" s="36">
        <v>744088.17384811211</v>
      </c>
      <c r="O17" s="36">
        <v>744088.17384811211</v>
      </c>
      <c r="P17" s="36">
        <v>744088.17384811211</v>
      </c>
      <c r="Q17" s="36">
        <v>744088.17384811211</v>
      </c>
      <c r="R17" s="36">
        <v>744088.17384811211</v>
      </c>
      <c r="S17" s="36">
        <v>744088.17384811211</v>
      </c>
      <c r="T17" s="36">
        <v>744088.17384811211</v>
      </c>
      <c r="U17" s="36">
        <v>744088.17384811211</v>
      </c>
      <c r="V17" s="37">
        <v>744088.17384811211</v>
      </c>
      <c r="W17" s="5"/>
      <c r="X17" s="47"/>
    </row>
    <row r="18" spans="1:24" s="48" customFormat="1" ht="14.25">
      <c r="A18" s="39" t="s">
        <v>16</v>
      </c>
      <c r="B18" s="40" t="s">
        <v>1</v>
      </c>
      <c r="C18" s="36">
        <v>213640.308011822</v>
      </c>
      <c r="D18" s="36">
        <v>427280.61602364399</v>
      </c>
      <c r="E18" s="36">
        <v>640920.92403546593</v>
      </c>
      <c r="F18" s="36">
        <v>854561.23204728798</v>
      </c>
      <c r="G18" s="36">
        <v>1068201.5400591099</v>
      </c>
      <c r="H18" s="36">
        <v>1068201.5400591099</v>
      </c>
      <c r="I18" s="36">
        <v>1068201.5400591099</v>
      </c>
      <c r="J18" s="36">
        <v>1068201.5400591099</v>
      </c>
      <c r="K18" s="36">
        <v>1068201.5400591099</v>
      </c>
      <c r="L18" s="36">
        <v>1068201.5400591099</v>
      </c>
      <c r="M18" s="36">
        <v>1068201.5400591099</v>
      </c>
      <c r="N18" s="36">
        <v>1068201.5400591099</v>
      </c>
      <c r="O18" s="36">
        <v>1068201.5400591099</v>
      </c>
      <c r="P18" s="36">
        <v>1068201.5400591099</v>
      </c>
      <c r="Q18" s="36">
        <v>1068201.5400591099</v>
      </c>
      <c r="R18" s="36">
        <v>1068201.5400591099</v>
      </c>
      <c r="S18" s="36">
        <v>1068201.5400591099</v>
      </c>
      <c r="T18" s="36">
        <v>1068201.5400591099</v>
      </c>
      <c r="U18" s="36">
        <v>1068201.5400591099</v>
      </c>
      <c r="V18" s="37">
        <v>1068201.5400591099</v>
      </c>
      <c r="W18" s="5"/>
      <c r="X18" s="47"/>
    </row>
    <row r="19" spans="1:24" s="18" customFormat="1" thickBot="1">
      <c r="A19" s="39" t="s">
        <v>17</v>
      </c>
      <c r="B19" s="40" t="s">
        <v>1</v>
      </c>
      <c r="C19" s="36">
        <v>518984.0593042181</v>
      </c>
      <c r="D19" s="36">
        <v>1037968.1186084362</v>
      </c>
      <c r="E19" s="36">
        <v>1556952.1779126541</v>
      </c>
      <c r="F19" s="36">
        <v>2075936.2372168724</v>
      </c>
      <c r="G19" s="36">
        <v>2594920.29652109</v>
      </c>
      <c r="H19" s="36">
        <v>2594920.29652109</v>
      </c>
      <c r="I19" s="36">
        <v>2594920.29652109</v>
      </c>
      <c r="J19" s="36">
        <v>2594920.29652109</v>
      </c>
      <c r="K19" s="36">
        <v>2594920.29652109</v>
      </c>
      <c r="L19" s="36">
        <v>2594920.29652109</v>
      </c>
      <c r="M19" s="36">
        <v>2594920.29652109</v>
      </c>
      <c r="N19" s="36">
        <v>2594920.29652109</v>
      </c>
      <c r="O19" s="36">
        <v>2594920.29652109</v>
      </c>
      <c r="P19" s="36">
        <v>2594920.29652109</v>
      </c>
      <c r="Q19" s="36">
        <v>2594920.29652109</v>
      </c>
      <c r="R19" s="36">
        <v>2594920.29652109</v>
      </c>
      <c r="S19" s="36">
        <v>2594920.29652109</v>
      </c>
      <c r="T19" s="36">
        <v>2594920.29652109</v>
      </c>
      <c r="U19" s="36">
        <v>2594920.29652109</v>
      </c>
      <c r="V19" s="37">
        <v>2594920.29652109</v>
      </c>
      <c r="W19" s="5"/>
      <c r="X19" s="17"/>
    </row>
    <row r="20" spans="1:24" s="48" customFormat="1" thickBot="1">
      <c r="A20" s="52" t="s">
        <v>21</v>
      </c>
      <c r="B20" s="44" t="s">
        <v>1</v>
      </c>
      <c r="C20" s="36">
        <v>1416400.4360190206</v>
      </c>
      <c r="D20" s="36">
        <v>2658300.8220380414</v>
      </c>
      <c r="E20" s="36">
        <v>3900201.2080570618</v>
      </c>
      <c r="F20" s="36">
        <v>5142101.594076083</v>
      </c>
      <c r="G20" s="36">
        <v>6384001.9800951034</v>
      </c>
      <c r="H20" s="36">
        <v>6209501.9300951026</v>
      </c>
      <c r="I20" s="36">
        <v>6209501.9300951026</v>
      </c>
      <c r="J20" s="36">
        <v>6209501.9300951026</v>
      </c>
      <c r="K20" s="36">
        <v>6209501.9300951026</v>
      </c>
      <c r="L20" s="36">
        <v>6209501.9300951026</v>
      </c>
      <c r="M20" s="36">
        <v>6209501.9300951026</v>
      </c>
      <c r="N20" s="36">
        <v>6209501.9300951026</v>
      </c>
      <c r="O20" s="36">
        <v>6209501.9300951026</v>
      </c>
      <c r="P20" s="36">
        <v>6209501.9300951026</v>
      </c>
      <c r="Q20" s="36">
        <v>6209501.9300951026</v>
      </c>
      <c r="R20" s="36">
        <v>6209501.9300951026</v>
      </c>
      <c r="S20" s="36">
        <v>6209501.9300951026</v>
      </c>
      <c r="T20" s="36">
        <v>6209501.9300951026</v>
      </c>
      <c r="U20" s="36">
        <v>6209501.9300951026</v>
      </c>
      <c r="V20" s="37">
        <v>6209501.9300951026</v>
      </c>
      <c r="W20" s="5"/>
      <c r="X20" s="47"/>
    </row>
    <row r="21" spans="1:24" s="48" customFormat="1" ht="14.25">
      <c r="A21" s="53" t="s">
        <v>0</v>
      </c>
      <c r="B21" s="54" t="s">
        <v>1</v>
      </c>
      <c r="C21" s="36">
        <v>-853463.0571908342</v>
      </c>
      <c r="D21" s="36">
        <v>-803320.00223075063</v>
      </c>
      <c r="E21" s="36">
        <v>-270602.62453389866</v>
      </c>
      <c r="F21" s="36">
        <v>1116247.9311625725</v>
      </c>
      <c r="G21" s="36">
        <v>1438934.9264532169</v>
      </c>
      <c r="H21" s="36">
        <v>1613434.9764532177</v>
      </c>
      <c r="I21" s="36">
        <v>1613434.9764532177</v>
      </c>
      <c r="J21" s="36">
        <v>1613434.9764532177</v>
      </c>
      <c r="K21" s="36">
        <v>1613434.9764532177</v>
      </c>
      <c r="L21" s="36">
        <v>1613434.9764532177</v>
      </c>
      <c r="M21" s="36">
        <v>1613434.9764532177</v>
      </c>
      <c r="N21" s="36">
        <v>1613434.9764532177</v>
      </c>
      <c r="O21" s="36">
        <v>1613434.9764532177</v>
      </c>
      <c r="P21" s="36">
        <v>1613434.9764532177</v>
      </c>
      <c r="Q21" s="36">
        <v>1613434.9764532177</v>
      </c>
      <c r="R21" s="36">
        <v>1613434.9764532177</v>
      </c>
      <c r="S21" s="36">
        <v>1613434.9764532177</v>
      </c>
      <c r="T21" s="36">
        <v>1613434.9764532177</v>
      </c>
      <c r="U21" s="36">
        <v>1613434.9764532177</v>
      </c>
      <c r="V21" s="37">
        <v>1613434.9764532177</v>
      </c>
      <c r="W21" s="5"/>
      <c r="X21" s="47"/>
    </row>
    <row r="22" spans="1:24" s="18" customFormat="1" ht="14.25">
      <c r="A22" s="55"/>
      <c r="B22" s="56"/>
      <c r="C22" s="36"/>
      <c r="D22" s="36"/>
      <c r="E22" s="36"/>
      <c r="F22" s="36"/>
      <c r="G22" s="36"/>
      <c r="H22" s="36"/>
      <c r="I22" s="36"/>
      <c r="J22" s="36"/>
      <c r="K22" s="36"/>
      <c r="L22" s="36"/>
      <c r="M22" s="36"/>
      <c r="N22" s="36"/>
      <c r="O22" s="36"/>
      <c r="P22" s="36"/>
      <c r="Q22" s="36"/>
      <c r="R22" s="36"/>
      <c r="S22" s="36"/>
      <c r="T22" s="36"/>
      <c r="U22" s="36"/>
      <c r="V22" s="37"/>
      <c r="W22" s="5"/>
      <c r="X22" s="17"/>
    </row>
    <row r="23" spans="1:24" s="18" customFormat="1" ht="14.25">
      <c r="A23" s="57" t="s">
        <v>36</v>
      </c>
      <c r="B23" s="54" t="s">
        <v>1</v>
      </c>
      <c r="C23" s="36">
        <v>19271.016330789906</v>
      </c>
      <c r="D23" s="36">
        <v>39482.08223869151</v>
      </c>
      <c r="E23" s="36">
        <v>60633.19772370482</v>
      </c>
      <c r="F23" s="36">
        <v>82724.362785829842</v>
      </c>
      <c r="G23" s="36">
        <v>105755.57742506656</v>
      </c>
      <c r="H23" s="36">
        <v>108105.7013678458</v>
      </c>
      <c r="I23" s="36">
        <v>110455.82531062508</v>
      </c>
      <c r="J23" s="36">
        <v>112805.94925340432</v>
      </c>
      <c r="K23" s="36">
        <v>115156.0731961836</v>
      </c>
      <c r="L23" s="36">
        <v>117506.19713896285</v>
      </c>
      <c r="M23" s="36">
        <v>119856.32108174211</v>
      </c>
      <c r="N23" s="36">
        <v>122206.44502452135</v>
      </c>
      <c r="O23" s="36">
        <v>124556.56896730061</v>
      </c>
      <c r="P23" s="36">
        <v>129256.81685285912</v>
      </c>
      <c r="Q23" s="36">
        <v>131606.94079563837</v>
      </c>
      <c r="R23" s="36">
        <v>133957.06473841763</v>
      </c>
      <c r="S23" s="36">
        <v>136307.18868119689</v>
      </c>
      <c r="T23" s="36">
        <v>141007.43656675541</v>
      </c>
      <c r="U23" s="36">
        <v>143357.56050953464</v>
      </c>
      <c r="V23" s="37">
        <v>148057.80839509316</v>
      </c>
      <c r="W23" s="5"/>
      <c r="X23" s="17"/>
    </row>
    <row r="24" spans="1:24" s="18" customFormat="1" ht="14.25">
      <c r="A24" s="57" t="s">
        <v>37</v>
      </c>
      <c r="B24" s="54" t="s">
        <v>1</v>
      </c>
      <c r="C24" s="36">
        <v>38542.032661579811</v>
      </c>
      <c r="D24" s="36">
        <v>78964.164477383019</v>
      </c>
      <c r="E24" s="36">
        <v>121266.39544740964</v>
      </c>
      <c r="F24" s="36">
        <v>163568.62641743629</v>
      </c>
      <c r="G24" s="36">
        <v>209161.03090735388</v>
      </c>
      <c r="H24" s="36">
        <v>213861.27879291237</v>
      </c>
      <c r="I24" s="36">
        <v>220911.65062125016</v>
      </c>
      <c r="J24" s="36">
        <v>225611.89850680865</v>
      </c>
      <c r="K24" s="36">
        <v>230312.1463923672</v>
      </c>
      <c r="L24" s="36">
        <v>235012.39427792569</v>
      </c>
      <c r="M24" s="36">
        <v>239712.64216348421</v>
      </c>
      <c r="N24" s="36">
        <v>246763.01399182194</v>
      </c>
      <c r="O24" s="36">
        <v>251463.26187738046</v>
      </c>
      <c r="P24" s="36">
        <v>256163.50976293895</v>
      </c>
      <c r="Q24" s="36">
        <v>263213.88159127673</v>
      </c>
      <c r="R24" s="36">
        <v>267914.12947683525</v>
      </c>
      <c r="S24" s="36">
        <v>274964.50130517303</v>
      </c>
      <c r="T24" s="36">
        <v>282014.87313351082</v>
      </c>
      <c r="U24" s="36">
        <v>286715.12101906928</v>
      </c>
      <c r="V24" s="37">
        <v>293765.49284740712</v>
      </c>
      <c r="W24" s="5"/>
      <c r="X24" s="17"/>
    </row>
    <row r="25" spans="1:24" s="18" customFormat="1" ht="14.25">
      <c r="A25" s="58"/>
      <c r="B25" s="54"/>
      <c r="C25" s="36"/>
      <c r="D25" s="36"/>
      <c r="E25" s="36"/>
      <c r="F25" s="36"/>
      <c r="G25" s="36"/>
      <c r="H25" s="36"/>
      <c r="I25" s="36"/>
      <c r="J25" s="36"/>
      <c r="K25" s="36"/>
      <c r="L25" s="36"/>
      <c r="M25" s="36"/>
      <c r="N25" s="36"/>
      <c r="O25" s="36"/>
      <c r="P25" s="36"/>
      <c r="Q25" s="36"/>
      <c r="R25" s="36"/>
      <c r="S25" s="36"/>
      <c r="T25" s="36"/>
      <c r="U25" s="36"/>
      <c r="V25" s="37"/>
      <c r="W25" s="5"/>
      <c r="X25" s="17"/>
    </row>
    <row r="26" spans="1:24" s="48" customFormat="1" ht="14.25">
      <c r="A26" s="59" t="s">
        <v>38</v>
      </c>
      <c r="B26" s="54"/>
      <c r="C26" s="36">
        <v>-834192.0408600443</v>
      </c>
      <c r="D26" s="36">
        <v>-763837.91999205912</v>
      </c>
      <c r="E26" s="36">
        <v>-209969.42681019384</v>
      </c>
      <c r="F26" s="36">
        <v>1198972.2939484024</v>
      </c>
      <c r="G26" s="36">
        <v>1544690.5038782835</v>
      </c>
      <c r="H26" s="36">
        <v>1721540.6778210634</v>
      </c>
      <c r="I26" s="36">
        <v>1723890.8017638428</v>
      </c>
      <c r="J26" s="36">
        <v>1726240.925706622</v>
      </c>
      <c r="K26" s="36">
        <v>1728591.0496494013</v>
      </c>
      <c r="L26" s="36">
        <v>1730941.1735921805</v>
      </c>
      <c r="M26" s="36">
        <v>1733291.2975349599</v>
      </c>
      <c r="N26" s="36">
        <v>1735641.421477739</v>
      </c>
      <c r="O26" s="36">
        <v>1737991.5454205184</v>
      </c>
      <c r="P26" s="36">
        <v>1742691.7933060769</v>
      </c>
      <c r="Q26" s="36">
        <v>1745041.917248856</v>
      </c>
      <c r="R26" s="36">
        <v>1747392.0411916352</v>
      </c>
      <c r="S26" s="36">
        <v>1749742.1651344146</v>
      </c>
      <c r="T26" s="36">
        <v>1754442.4130199731</v>
      </c>
      <c r="U26" s="36">
        <v>1756792.5369627522</v>
      </c>
      <c r="V26" s="37">
        <v>1761492.7848483108</v>
      </c>
      <c r="W26" s="5"/>
      <c r="X26" s="47"/>
    </row>
    <row r="27" spans="1:24" s="48" customFormat="1" thickBot="1">
      <c r="A27" s="60" t="s">
        <v>39</v>
      </c>
      <c r="B27" s="61"/>
      <c r="C27" s="145">
        <v>-814921.02452925441</v>
      </c>
      <c r="D27" s="145">
        <v>-724355.83775336761</v>
      </c>
      <c r="E27" s="145">
        <v>-149336.22908648901</v>
      </c>
      <c r="F27" s="145">
        <v>1279816.5575800086</v>
      </c>
      <c r="G27" s="145">
        <v>1648095.9573605708</v>
      </c>
      <c r="H27" s="145">
        <v>1827296.2552461301</v>
      </c>
      <c r="I27" s="145">
        <v>1834346.6270744679</v>
      </c>
      <c r="J27" s="145">
        <v>1839046.8749600262</v>
      </c>
      <c r="K27" s="145">
        <v>1843747.122845585</v>
      </c>
      <c r="L27" s="145">
        <v>1848447.3707311433</v>
      </c>
      <c r="M27" s="145">
        <v>1853147.6186167018</v>
      </c>
      <c r="N27" s="145">
        <v>1860197.9904450397</v>
      </c>
      <c r="O27" s="145">
        <v>1864898.2383305982</v>
      </c>
      <c r="P27" s="145">
        <v>1869598.4862161567</v>
      </c>
      <c r="Q27" s="145">
        <v>1876648.8580444944</v>
      </c>
      <c r="R27" s="145">
        <v>1881349.1059300529</v>
      </c>
      <c r="S27" s="145">
        <v>1888399.4777583908</v>
      </c>
      <c r="T27" s="145">
        <v>1895449.8495867285</v>
      </c>
      <c r="U27" s="145">
        <v>1900150.097472287</v>
      </c>
      <c r="V27" s="146">
        <v>1907200.4693006249</v>
      </c>
      <c r="W27" s="5"/>
      <c r="X27" s="47"/>
    </row>
    <row r="28" spans="1:24" s="18" customFormat="1" thickBot="1">
      <c r="A28" s="64"/>
      <c r="B28" s="22"/>
      <c r="C28" s="65"/>
      <c r="D28" s="65"/>
      <c r="E28" s="65"/>
      <c r="F28" s="65"/>
      <c r="G28" s="65"/>
      <c r="H28" s="65"/>
      <c r="I28" s="66"/>
      <c r="J28" s="66"/>
      <c r="K28" s="67"/>
      <c r="L28" s="67"/>
      <c r="M28" s="67"/>
      <c r="N28" s="67"/>
      <c r="O28" s="67"/>
      <c r="P28" s="67"/>
      <c r="Q28" s="67"/>
      <c r="R28" s="67"/>
      <c r="S28" s="67"/>
      <c r="T28" s="67"/>
      <c r="U28" s="67"/>
      <c r="V28" s="68"/>
      <c r="W28" s="69"/>
      <c r="X28" s="17"/>
    </row>
    <row r="29" spans="1:24" s="18" customFormat="1" ht="14.25">
      <c r="A29" s="134" t="s">
        <v>22</v>
      </c>
      <c r="B29" s="135"/>
      <c r="C29" s="70"/>
      <c r="D29" s="71"/>
      <c r="E29" s="71"/>
      <c r="F29" s="71"/>
      <c r="G29" s="71"/>
      <c r="H29" s="71"/>
      <c r="I29" s="72"/>
      <c r="J29" s="72"/>
      <c r="K29" s="66"/>
      <c r="L29" s="66"/>
      <c r="M29" s="66"/>
      <c r="N29" s="66"/>
      <c r="O29" s="66"/>
      <c r="P29" s="66"/>
      <c r="Q29" s="66"/>
      <c r="R29" s="66"/>
      <c r="S29" s="66"/>
      <c r="T29" s="66"/>
      <c r="U29" s="66"/>
      <c r="V29" s="73"/>
      <c r="W29" s="74"/>
      <c r="X29" s="17"/>
    </row>
    <row r="30" spans="1:24" s="18" customFormat="1" ht="14.25">
      <c r="A30" s="53" t="s">
        <v>10</v>
      </c>
      <c r="B30" s="75">
        <v>0.06</v>
      </c>
      <c r="C30" s="70"/>
      <c r="D30" s="71"/>
      <c r="E30" s="71"/>
      <c r="F30" s="71"/>
      <c r="G30" s="71"/>
      <c r="H30" s="71"/>
      <c r="I30" s="72"/>
      <c r="J30" s="72"/>
      <c r="K30" s="72"/>
      <c r="L30" s="72"/>
      <c r="M30" s="72"/>
      <c r="N30" s="72"/>
      <c r="O30" s="72"/>
      <c r="P30" s="72"/>
      <c r="Q30" s="72"/>
      <c r="R30" s="72"/>
      <c r="S30" s="72"/>
      <c r="T30" s="72"/>
      <c r="U30" s="72"/>
      <c r="V30" s="76"/>
      <c r="W30" s="74"/>
      <c r="X30" s="17"/>
    </row>
    <row r="31" spans="1:24" s="18" customFormat="1" thickBot="1">
      <c r="A31" s="136" t="s">
        <v>23</v>
      </c>
      <c r="B31" s="137"/>
      <c r="C31" s="77"/>
      <c r="D31" s="72"/>
      <c r="E31" s="72"/>
      <c r="F31" s="72"/>
      <c r="G31" s="72"/>
      <c r="H31" s="72"/>
      <c r="I31" s="72"/>
      <c r="J31" s="72"/>
      <c r="K31" s="72"/>
      <c r="L31" s="72"/>
      <c r="M31" s="72"/>
      <c r="N31" s="72"/>
      <c r="O31" s="72"/>
      <c r="P31" s="72"/>
      <c r="Q31" s="72"/>
      <c r="R31" s="72"/>
      <c r="S31" s="72"/>
      <c r="T31" s="72"/>
      <c r="U31" s="72"/>
      <c r="V31" s="76"/>
      <c r="W31" s="74"/>
      <c r="X31" s="17"/>
    </row>
    <row r="32" spans="1:24" s="18" customFormat="1" thickBot="1">
      <c r="A32" s="78" t="s">
        <v>7</v>
      </c>
      <c r="B32" s="147">
        <v>11921716.851596558</v>
      </c>
      <c r="C32" s="80" t="s">
        <v>1</v>
      </c>
      <c r="D32" s="80"/>
      <c r="E32" s="80"/>
      <c r="F32" s="80"/>
      <c r="G32" s="80"/>
      <c r="H32" s="80"/>
      <c r="I32" s="80"/>
      <c r="J32" s="80"/>
      <c r="K32" s="72"/>
      <c r="L32" s="72"/>
      <c r="M32" s="72"/>
      <c r="N32" s="72"/>
      <c r="O32" s="72"/>
      <c r="P32" s="72"/>
      <c r="Q32" s="72"/>
      <c r="R32" s="72"/>
      <c r="S32" s="72"/>
      <c r="T32" s="72"/>
      <c r="U32" s="72"/>
      <c r="V32" s="76"/>
      <c r="W32" s="74"/>
      <c r="X32" s="17"/>
    </row>
    <row r="33" spans="1:24" s="18" customFormat="1" thickBot="1">
      <c r="A33" s="78" t="s">
        <v>8</v>
      </c>
      <c r="B33" s="81">
        <v>0.44296853210646581</v>
      </c>
      <c r="C33" s="82" t="s">
        <v>24</v>
      </c>
      <c r="D33" s="82"/>
      <c r="E33" s="82"/>
      <c r="F33" s="82"/>
      <c r="G33" s="82"/>
      <c r="H33" s="82"/>
      <c r="I33" s="82"/>
      <c r="J33" s="82"/>
      <c r="K33" s="72"/>
      <c r="L33" s="72"/>
      <c r="M33" s="72"/>
      <c r="N33" s="72"/>
      <c r="O33" s="72"/>
      <c r="P33" s="72"/>
      <c r="Q33" s="72"/>
      <c r="R33" s="72"/>
      <c r="S33" s="72"/>
      <c r="T33" s="72"/>
      <c r="U33" s="72"/>
      <c r="V33" s="76"/>
      <c r="W33" s="74"/>
      <c r="X33" s="17"/>
    </row>
    <row r="34" spans="1:24" s="18" customFormat="1" thickBot="1">
      <c r="A34" s="78" t="s">
        <v>9</v>
      </c>
      <c r="B34" s="81">
        <v>0.18120486332527075</v>
      </c>
      <c r="C34" s="80" t="s">
        <v>24</v>
      </c>
      <c r="D34" s="80"/>
      <c r="E34" s="80"/>
      <c r="F34" s="80"/>
      <c r="G34" s="80"/>
      <c r="H34" s="80"/>
      <c r="I34" s="80"/>
      <c r="J34" s="80"/>
      <c r="K34" s="72"/>
      <c r="L34" s="72"/>
      <c r="M34" s="72"/>
      <c r="N34" s="72"/>
      <c r="O34" s="72"/>
      <c r="P34" s="72"/>
      <c r="Q34" s="72"/>
      <c r="R34" s="72"/>
      <c r="S34" s="72"/>
      <c r="T34" s="72"/>
      <c r="U34" s="72"/>
      <c r="V34" s="76"/>
      <c r="W34" s="74"/>
      <c r="X34" s="17"/>
    </row>
    <row r="35" spans="1:24" s="18" customFormat="1" thickBot="1">
      <c r="A35" s="83" t="s">
        <v>25</v>
      </c>
      <c r="B35" s="148">
        <v>1.2204238514201939</v>
      </c>
      <c r="C35" s="85"/>
      <c r="D35" s="85"/>
      <c r="E35" s="85"/>
      <c r="F35" s="85"/>
      <c r="G35" s="85"/>
      <c r="H35" s="85"/>
      <c r="I35" s="85"/>
      <c r="J35" s="85"/>
      <c r="K35" s="72"/>
      <c r="L35" s="72"/>
      <c r="M35" s="72"/>
      <c r="N35" s="72"/>
      <c r="O35" s="72"/>
      <c r="P35" s="72"/>
      <c r="Q35" s="72"/>
      <c r="R35" s="72"/>
      <c r="S35" s="72"/>
      <c r="T35" s="72"/>
      <c r="U35" s="72"/>
      <c r="V35" s="76"/>
      <c r="W35" s="74"/>
      <c r="X35" s="17"/>
    </row>
    <row r="36" spans="1:24" s="18" customFormat="1" thickBot="1">
      <c r="A36" s="87"/>
      <c r="B36" s="88"/>
      <c r="V36" s="90"/>
      <c r="W36" s="91"/>
      <c r="X36" s="17"/>
    </row>
    <row r="37" spans="1:24" s="18" customFormat="1" thickBot="1">
      <c r="A37" s="138" t="s">
        <v>40</v>
      </c>
      <c r="B37" s="139"/>
      <c r="C37" s="71"/>
      <c r="D37" s="71"/>
      <c r="E37" s="71"/>
      <c r="F37" s="71"/>
      <c r="G37" s="71"/>
      <c r="H37" s="71"/>
      <c r="I37" s="72"/>
      <c r="J37" s="72"/>
      <c r="K37" s="66"/>
      <c r="L37" s="66"/>
      <c r="M37" s="66"/>
      <c r="N37" s="66"/>
      <c r="O37" s="66"/>
      <c r="P37" s="66"/>
      <c r="Q37" s="66"/>
      <c r="R37" s="66"/>
      <c r="S37" s="66"/>
      <c r="T37" s="66"/>
      <c r="U37" s="66"/>
      <c r="V37" s="73"/>
      <c r="W37" s="74"/>
      <c r="X37" s="17"/>
    </row>
    <row r="38" spans="1:24" s="18" customFormat="1" thickBot="1">
      <c r="A38" s="93" t="s">
        <v>10</v>
      </c>
      <c r="B38" s="94">
        <v>0.06</v>
      </c>
      <c r="C38" s="71"/>
      <c r="D38" s="71"/>
      <c r="E38" s="71"/>
      <c r="F38" s="71"/>
      <c r="G38" s="71"/>
      <c r="H38" s="71"/>
      <c r="I38" s="72"/>
      <c r="J38" s="72"/>
      <c r="K38" s="72"/>
      <c r="L38" s="72"/>
      <c r="M38" s="72"/>
      <c r="N38" s="72"/>
      <c r="O38" s="72"/>
      <c r="P38" s="72"/>
      <c r="Q38" s="72"/>
      <c r="R38" s="72"/>
      <c r="S38" s="72"/>
      <c r="T38" s="72"/>
      <c r="U38" s="72"/>
      <c r="V38" s="76"/>
      <c r="W38" s="74"/>
      <c r="X38" s="17"/>
    </row>
    <row r="39" spans="1:24" s="18" customFormat="1" thickBot="1">
      <c r="A39" s="140" t="s">
        <v>23</v>
      </c>
      <c r="B39" s="141"/>
      <c r="C39" s="72"/>
      <c r="D39" s="72"/>
      <c r="E39" s="72"/>
      <c r="F39" s="72"/>
      <c r="G39" s="72"/>
      <c r="H39" s="72"/>
      <c r="I39" s="72"/>
      <c r="J39" s="72"/>
      <c r="K39" s="72"/>
      <c r="L39" s="72"/>
      <c r="M39" s="72"/>
      <c r="N39" s="72"/>
      <c r="O39" s="72"/>
      <c r="P39" s="72"/>
      <c r="Q39" s="72"/>
      <c r="R39" s="72"/>
      <c r="S39" s="72"/>
      <c r="T39" s="72"/>
      <c r="U39" s="72"/>
      <c r="V39" s="76"/>
      <c r="W39" s="74"/>
      <c r="X39" s="17"/>
    </row>
    <row r="40" spans="1:24" s="18" customFormat="1" thickBot="1">
      <c r="A40" s="13" t="s">
        <v>7</v>
      </c>
      <c r="B40" s="95">
        <v>13065371.147906726</v>
      </c>
      <c r="C40" s="80" t="s">
        <v>1</v>
      </c>
      <c r="D40" s="80"/>
      <c r="E40" s="80"/>
      <c r="F40" s="80"/>
      <c r="G40" s="80"/>
      <c r="H40" s="80"/>
      <c r="I40" s="80"/>
      <c r="J40" s="80"/>
      <c r="K40" s="72"/>
      <c r="L40" s="72"/>
      <c r="M40" s="72"/>
      <c r="N40" s="72"/>
      <c r="O40" s="72"/>
      <c r="P40" s="72"/>
      <c r="Q40" s="72"/>
      <c r="R40" s="72"/>
      <c r="S40" s="72"/>
      <c r="T40" s="72"/>
      <c r="U40" s="72"/>
      <c r="V40" s="76"/>
      <c r="W40" s="74"/>
      <c r="X40" s="17"/>
    </row>
    <row r="41" spans="1:24" s="18" customFormat="1" thickBot="1">
      <c r="A41" s="51" t="s">
        <v>8</v>
      </c>
      <c r="B41" s="96">
        <v>0.47856282384818927</v>
      </c>
      <c r="C41" s="82" t="s">
        <v>24</v>
      </c>
      <c r="D41" s="82"/>
      <c r="E41" s="82"/>
      <c r="F41" s="82"/>
      <c r="G41" s="82"/>
      <c r="H41" s="82"/>
      <c r="I41" s="82"/>
      <c r="J41" s="82"/>
      <c r="K41" s="72"/>
      <c r="L41" s="72"/>
      <c r="M41" s="72"/>
      <c r="N41" s="72"/>
      <c r="O41" s="72"/>
      <c r="P41" s="72"/>
      <c r="Q41" s="72"/>
      <c r="R41" s="72"/>
      <c r="S41" s="72"/>
      <c r="T41" s="72"/>
      <c r="U41" s="72"/>
      <c r="V41" s="76"/>
      <c r="W41" s="74"/>
      <c r="X41" s="17"/>
    </row>
    <row r="42" spans="1:24" s="18" customFormat="1" thickBot="1">
      <c r="A42" s="83" t="s">
        <v>9</v>
      </c>
      <c r="B42" s="97">
        <v>0.18961460063395541</v>
      </c>
      <c r="C42" s="80" t="s">
        <v>24</v>
      </c>
      <c r="D42" s="80"/>
      <c r="E42" s="80"/>
      <c r="F42" s="80"/>
      <c r="G42" s="80"/>
      <c r="H42" s="80"/>
      <c r="I42" s="80"/>
      <c r="J42" s="80"/>
      <c r="K42" s="72"/>
      <c r="L42" s="72"/>
      <c r="M42" s="72"/>
      <c r="N42" s="72"/>
      <c r="O42" s="72"/>
      <c r="P42" s="72"/>
      <c r="Q42" s="72"/>
      <c r="R42" s="72"/>
      <c r="S42" s="72"/>
      <c r="T42" s="72"/>
      <c r="U42" s="72"/>
      <c r="V42" s="76"/>
      <c r="W42" s="74"/>
      <c r="X42" s="17"/>
    </row>
    <row r="43" spans="1:24" ht="15.75" thickBot="1"/>
    <row r="44" spans="1:24" s="18" customFormat="1" thickBot="1">
      <c r="A44" s="138" t="s">
        <v>41</v>
      </c>
      <c r="B44" s="139"/>
      <c r="C44" s="71"/>
      <c r="D44" s="71"/>
      <c r="E44" s="71"/>
      <c r="F44" s="71"/>
      <c r="G44" s="71"/>
      <c r="H44" s="71"/>
      <c r="I44" s="72"/>
      <c r="J44" s="72"/>
      <c r="K44" s="66"/>
      <c r="L44" s="66"/>
      <c r="M44" s="66"/>
      <c r="N44" s="66"/>
      <c r="O44" s="66"/>
      <c r="P44" s="66"/>
      <c r="Q44" s="66"/>
      <c r="R44" s="66"/>
      <c r="S44" s="66"/>
      <c r="T44" s="66"/>
      <c r="U44" s="66"/>
      <c r="V44" s="73"/>
      <c r="W44" s="74"/>
      <c r="X44" s="17"/>
    </row>
    <row r="45" spans="1:24" s="18" customFormat="1" thickBot="1">
      <c r="A45" s="93" t="s">
        <v>10</v>
      </c>
      <c r="B45" s="94">
        <v>0.06</v>
      </c>
      <c r="C45" s="71"/>
      <c r="D45" s="71"/>
      <c r="E45" s="71"/>
      <c r="F45" s="71"/>
      <c r="G45" s="71"/>
      <c r="H45" s="71"/>
      <c r="I45" s="72"/>
      <c r="J45" s="72"/>
      <c r="K45" s="72"/>
      <c r="L45" s="72"/>
      <c r="M45" s="72"/>
      <c r="N45" s="72"/>
      <c r="O45" s="72"/>
      <c r="P45" s="72"/>
      <c r="Q45" s="72"/>
      <c r="R45" s="72"/>
      <c r="S45" s="72"/>
      <c r="T45" s="72"/>
      <c r="U45" s="72"/>
      <c r="V45" s="76"/>
      <c r="W45" s="74"/>
      <c r="X45" s="17"/>
    </row>
    <row r="46" spans="1:24" s="18" customFormat="1" thickBot="1">
      <c r="A46" s="140" t="s">
        <v>23</v>
      </c>
      <c r="B46" s="141"/>
      <c r="C46" s="72"/>
      <c r="D46" s="72"/>
      <c r="E46" s="72"/>
      <c r="F46" s="72"/>
      <c r="G46" s="72"/>
      <c r="H46" s="72"/>
      <c r="I46" s="72"/>
      <c r="J46" s="72"/>
      <c r="K46" s="72"/>
      <c r="L46" s="72"/>
      <c r="M46" s="72"/>
      <c r="N46" s="72"/>
      <c r="O46" s="72"/>
      <c r="P46" s="72"/>
      <c r="Q46" s="72"/>
      <c r="R46" s="72"/>
      <c r="S46" s="72"/>
      <c r="T46" s="72"/>
      <c r="U46" s="72"/>
      <c r="V46" s="76"/>
      <c r="W46" s="74"/>
      <c r="X46" s="17"/>
    </row>
    <row r="47" spans="1:24" s="18" customFormat="1" thickBot="1">
      <c r="A47" s="13" t="s">
        <v>7</v>
      </c>
      <c r="B47" s="95">
        <v>14205493.615605146</v>
      </c>
      <c r="C47" s="80" t="s">
        <v>1</v>
      </c>
      <c r="D47" s="80"/>
      <c r="E47" s="80"/>
      <c r="F47" s="80"/>
      <c r="G47" s="80"/>
      <c r="H47" s="80"/>
      <c r="I47" s="80"/>
      <c r="J47" s="80"/>
      <c r="K47" s="72"/>
      <c r="L47" s="72"/>
      <c r="M47" s="72"/>
      <c r="N47" s="72"/>
      <c r="O47" s="72"/>
      <c r="P47" s="72"/>
      <c r="Q47" s="72"/>
      <c r="R47" s="72"/>
      <c r="S47" s="72"/>
      <c r="T47" s="72"/>
      <c r="U47" s="72"/>
      <c r="V47" s="76"/>
      <c r="W47" s="74"/>
      <c r="X47" s="17"/>
    </row>
    <row r="48" spans="1:24" s="18" customFormat="1" thickBot="1">
      <c r="A48" s="51" t="s">
        <v>8</v>
      </c>
      <c r="B48" s="96">
        <v>0.51475652668068939</v>
      </c>
      <c r="C48" s="82" t="s">
        <v>24</v>
      </c>
      <c r="D48" s="82"/>
      <c r="E48" s="82"/>
      <c r="F48" s="82"/>
      <c r="G48" s="82"/>
      <c r="H48" s="82"/>
      <c r="I48" s="82"/>
      <c r="J48" s="82"/>
      <c r="K48" s="72"/>
      <c r="L48" s="72"/>
      <c r="M48" s="72"/>
      <c r="N48" s="72"/>
      <c r="O48" s="72"/>
      <c r="P48" s="72"/>
      <c r="Q48" s="72"/>
      <c r="R48" s="72"/>
      <c r="S48" s="72"/>
      <c r="T48" s="72"/>
      <c r="U48" s="72"/>
      <c r="V48" s="76"/>
      <c r="W48" s="74"/>
      <c r="X48" s="17"/>
    </row>
    <row r="49" spans="1:24" s="18" customFormat="1" thickBot="1">
      <c r="A49" s="83" t="s">
        <v>9</v>
      </c>
      <c r="B49" s="97">
        <v>0.19800862030242272</v>
      </c>
      <c r="C49" s="80" t="s">
        <v>24</v>
      </c>
      <c r="D49" s="80"/>
      <c r="E49" s="80"/>
      <c r="F49" s="80"/>
      <c r="G49" s="80"/>
      <c r="H49" s="80"/>
      <c r="I49" s="80"/>
      <c r="J49" s="80"/>
      <c r="K49" s="72"/>
      <c r="L49" s="72"/>
      <c r="M49" s="72"/>
      <c r="N49" s="72"/>
      <c r="O49" s="72"/>
      <c r="P49" s="72"/>
      <c r="Q49" s="72"/>
      <c r="R49" s="72"/>
      <c r="S49" s="72"/>
      <c r="T49" s="72"/>
      <c r="U49" s="72"/>
      <c r="V49" s="76"/>
      <c r="W49" s="74"/>
      <c r="X49" s="17"/>
    </row>
    <row r="51" spans="1:24" s="102" customFormat="1" ht="13.5" thickBot="1">
      <c r="B51" s="103" t="s">
        <v>26</v>
      </c>
      <c r="C51" s="104"/>
      <c r="D51" s="104"/>
      <c r="E51" s="104"/>
      <c r="F51" s="104"/>
      <c r="G51" s="104"/>
      <c r="H51" s="104"/>
      <c r="I51" s="104"/>
      <c r="J51" s="104"/>
      <c r="K51" s="104"/>
      <c r="L51" s="104"/>
      <c r="M51" s="104"/>
      <c r="N51" s="104"/>
      <c r="O51" s="104"/>
      <c r="P51" s="104"/>
      <c r="Q51" s="104"/>
      <c r="R51" s="104"/>
      <c r="S51" s="104"/>
      <c r="T51" s="104"/>
      <c r="U51" s="104"/>
      <c r="V51" s="105"/>
      <c r="W51" s="106"/>
      <c r="X51" s="107"/>
    </row>
    <row r="52" spans="1:24" s="102" customFormat="1" ht="12.75">
      <c r="B52" s="108" t="s">
        <v>27</v>
      </c>
      <c r="C52" s="109">
        <v>0</v>
      </c>
      <c r="D52" s="110">
        <v>1</v>
      </c>
      <c r="E52" s="110">
        <v>2</v>
      </c>
      <c r="F52" s="110">
        <v>3</v>
      </c>
      <c r="G52" s="110">
        <v>4</v>
      </c>
      <c r="H52" s="110">
        <v>5</v>
      </c>
      <c r="I52" s="110">
        <v>6</v>
      </c>
      <c r="J52" s="110">
        <v>7</v>
      </c>
      <c r="K52" s="110">
        <v>8</v>
      </c>
      <c r="L52" s="110">
        <v>9</v>
      </c>
      <c r="M52" s="110">
        <v>10</v>
      </c>
      <c r="N52" s="110">
        <v>11</v>
      </c>
      <c r="O52" s="110">
        <v>12</v>
      </c>
      <c r="P52" s="110">
        <v>13</v>
      </c>
      <c r="Q52" s="110">
        <v>14</v>
      </c>
      <c r="R52" s="110">
        <v>15</v>
      </c>
      <c r="S52" s="110">
        <v>16</v>
      </c>
      <c r="T52" s="110">
        <v>17</v>
      </c>
      <c r="U52" s="110">
        <v>18</v>
      </c>
      <c r="V52" s="110">
        <v>19</v>
      </c>
      <c r="W52" s="111">
        <v>20</v>
      </c>
      <c r="X52" s="107"/>
    </row>
    <row r="53" spans="1:24" s="102" customFormat="1" ht="12.75">
      <c r="B53" s="108" t="s">
        <v>28</v>
      </c>
      <c r="C53" s="112">
        <v>-872500.25</v>
      </c>
      <c r="D53" s="113"/>
      <c r="E53" s="113"/>
      <c r="F53" s="113"/>
      <c r="G53" s="113"/>
      <c r="H53" s="113"/>
      <c r="I53" s="113"/>
      <c r="J53" s="113"/>
      <c r="K53" s="113"/>
      <c r="L53" s="113"/>
      <c r="M53" s="113"/>
      <c r="N53" s="113"/>
      <c r="O53" s="113"/>
      <c r="P53" s="113"/>
      <c r="Q53" s="113"/>
      <c r="R53" s="113"/>
      <c r="S53" s="113"/>
      <c r="T53" s="113"/>
      <c r="U53" s="113"/>
      <c r="V53" s="113"/>
      <c r="W53" s="114"/>
      <c r="X53" s="107"/>
    </row>
    <row r="54" spans="1:24" s="102" customFormat="1" ht="12.75">
      <c r="B54" s="108" t="s">
        <v>29</v>
      </c>
      <c r="D54" s="115">
        <v>-678963.00719083438</v>
      </c>
      <c r="E54" s="115">
        <v>-628819.95223075082</v>
      </c>
      <c r="F54" s="115">
        <v>-96102.574533898849</v>
      </c>
      <c r="G54" s="115">
        <v>1290747.9811625723</v>
      </c>
      <c r="H54" s="115">
        <v>1613434.9764532177</v>
      </c>
      <c r="I54" s="115">
        <v>7822936.9065483203</v>
      </c>
      <c r="J54" s="115">
        <v>7822936.9065483203</v>
      </c>
      <c r="K54" s="115">
        <v>7822936.9065483203</v>
      </c>
      <c r="L54" s="115">
        <v>7822936.9065483203</v>
      </c>
      <c r="M54" s="115">
        <v>7822936.9065483203</v>
      </c>
      <c r="N54" s="115">
        <v>7822936.9065483203</v>
      </c>
      <c r="O54" s="115">
        <v>7822936.9065483203</v>
      </c>
      <c r="P54" s="115">
        <v>7822936.9065483203</v>
      </c>
      <c r="Q54" s="115">
        <v>7822936.9065483203</v>
      </c>
      <c r="R54" s="115">
        <v>7822936.9065483203</v>
      </c>
      <c r="S54" s="115">
        <v>7822936.9065483203</v>
      </c>
      <c r="T54" s="115">
        <v>7822936.9065483203</v>
      </c>
      <c r="U54" s="115">
        <v>7822936.9065483203</v>
      </c>
      <c r="V54" s="115">
        <v>7822936.9065483203</v>
      </c>
      <c r="W54" s="116">
        <v>7822936.9065483203</v>
      </c>
      <c r="X54" s="107"/>
    </row>
    <row r="55" spans="1:24" s="102" customFormat="1" ht="13.5" thickBot="1">
      <c r="B55" s="108" t="s">
        <v>30</v>
      </c>
      <c r="C55" s="117">
        <v>-872500.25</v>
      </c>
      <c r="D55" s="118">
        <v>-1551463.2571908343</v>
      </c>
      <c r="E55" s="118">
        <v>-2180283.2094215853</v>
      </c>
      <c r="F55" s="118">
        <v>-2276385.7839554842</v>
      </c>
      <c r="G55" s="118">
        <v>-985637.80279291188</v>
      </c>
      <c r="H55" s="118">
        <v>627797.17366030579</v>
      </c>
      <c r="I55" s="118">
        <v>8450734.0802086256</v>
      </c>
      <c r="J55" s="118">
        <v>16273670.986756947</v>
      </c>
      <c r="K55" s="118">
        <v>24096607.893305268</v>
      </c>
      <c r="L55" s="118">
        <v>31919544.799853589</v>
      </c>
      <c r="M55" s="118">
        <v>39742481.706401907</v>
      </c>
      <c r="N55" s="118">
        <v>47565418.612950228</v>
      </c>
      <c r="O55" s="118">
        <v>55388355.519498549</v>
      </c>
      <c r="P55" s="118">
        <v>63211292.426046871</v>
      </c>
      <c r="Q55" s="118">
        <v>71034229.332595184</v>
      </c>
      <c r="R55" s="118">
        <v>78857166.239143506</v>
      </c>
      <c r="S55" s="118">
        <v>86680103.145691827</v>
      </c>
      <c r="T55" s="118">
        <v>94503040.052240148</v>
      </c>
      <c r="U55" s="118">
        <v>102325976.95878847</v>
      </c>
      <c r="V55" s="118">
        <v>110148913.86533679</v>
      </c>
      <c r="W55" s="119">
        <v>117971850.77188511</v>
      </c>
      <c r="X55" s="107"/>
    </row>
    <row r="56" spans="1:24" s="128" customFormat="1" ht="14.25">
      <c r="A56" s="120"/>
      <c r="B56" s="121"/>
      <c r="C56" s="122"/>
      <c r="D56" s="123"/>
      <c r="E56" s="124"/>
      <c r="F56" s="124"/>
      <c r="G56" s="124"/>
      <c r="H56" s="124"/>
      <c r="I56" s="124"/>
      <c r="J56" s="124"/>
      <c r="K56" s="124"/>
      <c r="L56" s="124"/>
      <c r="M56" s="124"/>
      <c r="N56" s="124"/>
      <c r="O56" s="124"/>
      <c r="P56" s="124"/>
      <c r="Q56" s="124"/>
      <c r="R56" s="124"/>
      <c r="S56" s="124"/>
      <c r="T56" s="124"/>
      <c r="U56" s="124"/>
      <c r="V56" s="125"/>
      <c r="W56" s="126"/>
      <c r="X56" s="127"/>
    </row>
    <row r="57" spans="1:24" s="128" customFormat="1" thickBot="1">
      <c r="B57" s="129" t="s">
        <v>31</v>
      </c>
      <c r="C57" s="130">
        <v>4.9197491707833159</v>
      </c>
      <c r="D57" s="127"/>
      <c r="V57" s="121"/>
      <c r="W57" s="126"/>
      <c r="X57" s="127"/>
    </row>
    <row r="58" spans="1:24" s="128" customFormat="1" ht="14.25">
      <c r="B58" s="129"/>
      <c r="C58" s="149"/>
      <c r="D58" s="127"/>
      <c r="V58" s="121"/>
      <c r="W58" s="126"/>
      <c r="X58" s="127"/>
    </row>
    <row r="59" spans="1:24" s="102" customFormat="1" ht="12.75">
      <c r="V59" s="150"/>
      <c r="W59" s="106"/>
      <c r="X59" s="107"/>
    </row>
    <row r="60" spans="1:24" s="102" customFormat="1" ht="12.75">
      <c r="V60" s="150"/>
      <c r="W60" s="106"/>
      <c r="X60" s="107"/>
    </row>
    <row r="61" spans="1:24" s="102" customFormat="1" ht="12.75">
      <c r="V61" s="150"/>
      <c r="W61" s="106"/>
      <c r="X61" s="107"/>
    </row>
    <row r="62" spans="1:24" s="102" customFormat="1" ht="12.75">
      <c r="V62" s="150"/>
      <c r="W62" s="106"/>
      <c r="X62" s="107"/>
    </row>
    <row r="63" spans="1:24" s="102" customFormat="1" ht="12.75">
      <c r="V63" s="150"/>
      <c r="W63" s="106"/>
      <c r="X63" s="107"/>
    </row>
    <row r="64" spans="1:24" s="102" customFormat="1" ht="12.75">
      <c r="V64" s="150"/>
      <c r="W64" s="106"/>
      <c r="X64" s="107"/>
    </row>
    <row r="65" spans="22:24" s="102" customFormat="1" ht="12.75">
      <c r="V65" s="150"/>
      <c r="W65" s="106"/>
      <c r="X65" s="107"/>
    </row>
    <row r="66" spans="22:24" s="102" customFormat="1" ht="12.75">
      <c r="V66" s="150"/>
      <c r="W66" s="106"/>
      <c r="X66" s="107"/>
    </row>
    <row r="67" spans="22:24" s="102" customFormat="1" ht="12.75">
      <c r="V67" s="150"/>
      <c r="W67" s="106"/>
      <c r="X67" s="107"/>
    </row>
    <row r="68" spans="22:24" s="102" customFormat="1" ht="12.75">
      <c r="V68" s="150"/>
      <c r="W68" s="106"/>
      <c r="X68" s="107"/>
    </row>
    <row r="69" spans="22:24" s="102" customFormat="1" ht="12.75">
      <c r="V69" s="150"/>
      <c r="W69" s="106"/>
      <c r="X69" s="107"/>
    </row>
    <row r="70" spans="22:24" s="102" customFormat="1" ht="12.75">
      <c r="V70" s="150"/>
      <c r="W70" s="106"/>
      <c r="X70" s="107"/>
    </row>
    <row r="71" spans="22:24" s="102" customFormat="1" ht="12.75">
      <c r="V71" s="150"/>
      <c r="W71" s="106"/>
      <c r="X71" s="107"/>
    </row>
    <row r="72" spans="22:24" s="102" customFormat="1" ht="12.75">
      <c r="V72" s="150"/>
      <c r="W72" s="106"/>
      <c r="X72" s="107"/>
    </row>
    <row r="73" spans="22:24" s="102" customFormat="1" ht="12.75">
      <c r="V73" s="150"/>
      <c r="W73" s="106"/>
      <c r="X73" s="107"/>
    </row>
    <row r="74" spans="22:24" s="102" customFormat="1" ht="12.75">
      <c r="V74" s="150"/>
      <c r="W74" s="106"/>
      <c r="X74" s="107"/>
    </row>
    <row r="75" spans="22:24" s="102" customFormat="1" ht="12.75">
      <c r="V75" s="150"/>
      <c r="W75" s="106"/>
      <c r="X75" s="107"/>
    </row>
    <row r="76" spans="22:24" s="102" customFormat="1" ht="12.75">
      <c r="V76" s="150"/>
      <c r="W76" s="106"/>
      <c r="X76" s="107"/>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dimension ref="A1:X67"/>
  <sheetViews>
    <sheetView showGridLines="0" zoomScale="70" zoomScaleNormal="70" workbookViewId="0">
      <selection sqref="A1:XFD1048576"/>
    </sheetView>
  </sheetViews>
  <sheetFormatPr defaultColWidth="9" defaultRowHeight="15"/>
  <cols>
    <col min="1" max="1" width="76.140625" style="98" customWidth="1"/>
    <col min="2" max="2" width="18.140625" style="98" customWidth="1"/>
    <col min="3" max="3" width="16.7109375" style="98" bestFit="1" customWidth="1"/>
    <col min="4" max="4" width="16.42578125" style="98" bestFit="1" customWidth="1"/>
    <col min="5" max="21" width="15.85546875" style="98" customWidth="1"/>
    <col min="22" max="22" width="15.85546875" style="99" customWidth="1"/>
    <col min="23" max="23" width="15.85546875" style="100" customWidth="1"/>
    <col min="24" max="24" width="9" style="101"/>
    <col min="25" max="16384" width="9" style="98"/>
  </cols>
  <sheetData>
    <row r="1" spans="1:24" s="18" customFormat="1" ht="15.75" thickBot="1">
      <c r="A1" s="131" t="s">
        <v>32</v>
      </c>
      <c r="B1" s="132"/>
      <c r="C1" s="132"/>
      <c r="D1" s="132"/>
      <c r="E1" s="132"/>
      <c r="F1" s="132"/>
      <c r="G1" s="132"/>
      <c r="H1" s="132"/>
      <c r="I1" s="132"/>
      <c r="J1" s="132"/>
      <c r="K1" s="132"/>
      <c r="L1" s="132"/>
      <c r="M1" s="132"/>
      <c r="N1" s="132"/>
      <c r="O1" s="132"/>
      <c r="P1" s="132"/>
      <c r="Q1" s="132"/>
      <c r="R1" s="132"/>
      <c r="S1" s="132"/>
      <c r="T1" s="132"/>
      <c r="U1" s="132"/>
      <c r="V1" s="132"/>
      <c r="W1" s="133"/>
      <c r="X1" s="17"/>
    </row>
    <row r="2" spans="1:24" s="18" customFormat="1" ht="14.25">
      <c r="A2" s="19"/>
      <c r="B2" s="20" t="s">
        <v>12</v>
      </c>
      <c r="C2" s="20"/>
      <c r="D2" s="20"/>
      <c r="E2" s="20"/>
      <c r="F2" s="20"/>
      <c r="G2" s="20"/>
      <c r="H2" s="20"/>
      <c r="I2" s="20"/>
      <c r="J2" s="20"/>
      <c r="K2" s="20"/>
      <c r="L2" s="20"/>
      <c r="M2" s="20"/>
      <c r="N2" s="20"/>
      <c r="O2" s="20"/>
      <c r="P2" s="20"/>
      <c r="Q2" s="20"/>
      <c r="R2" s="20"/>
      <c r="S2" s="20"/>
      <c r="T2" s="20"/>
      <c r="U2" s="20"/>
      <c r="V2" s="21"/>
      <c r="W2" s="22"/>
      <c r="X2" s="17"/>
    </row>
    <row r="3" spans="1:24" s="18" customFormat="1" ht="14.25">
      <c r="A3" s="23"/>
      <c r="B3" s="24"/>
      <c r="C3" s="25">
        <v>2023</v>
      </c>
      <c r="D3" s="25">
        <v>2024</v>
      </c>
      <c r="E3" s="25">
        <v>2025</v>
      </c>
      <c r="F3" s="25">
        <v>2026</v>
      </c>
      <c r="G3" s="25">
        <v>2027</v>
      </c>
      <c r="H3" s="25">
        <v>2028</v>
      </c>
      <c r="I3" s="25">
        <v>2029</v>
      </c>
      <c r="J3" s="25">
        <v>2030</v>
      </c>
      <c r="K3" s="25">
        <v>2031</v>
      </c>
      <c r="L3" s="25">
        <v>2032</v>
      </c>
      <c r="M3" s="25">
        <v>2033</v>
      </c>
      <c r="N3" s="25">
        <v>2034</v>
      </c>
      <c r="O3" s="25">
        <v>2035</v>
      </c>
      <c r="P3" s="25">
        <v>2036</v>
      </c>
      <c r="Q3" s="25">
        <v>2037</v>
      </c>
      <c r="R3" s="25">
        <v>2038</v>
      </c>
      <c r="S3" s="25">
        <v>2039</v>
      </c>
      <c r="T3" s="25">
        <v>2040</v>
      </c>
      <c r="U3" s="25">
        <v>2041</v>
      </c>
      <c r="V3" s="26">
        <v>2042</v>
      </c>
      <c r="W3" s="27"/>
      <c r="X3" s="17"/>
    </row>
    <row r="4" spans="1:24" s="18" customFormat="1" ht="14.25">
      <c r="A4" s="28" t="s">
        <v>33</v>
      </c>
      <c r="B4" s="29"/>
      <c r="C4" s="30"/>
      <c r="D4" s="30"/>
      <c r="E4" s="30"/>
      <c r="F4" s="30"/>
      <c r="G4" s="30"/>
      <c r="H4" s="30"/>
      <c r="I4" s="30"/>
      <c r="J4" s="31"/>
      <c r="K4" s="32"/>
      <c r="L4" s="32"/>
      <c r="M4" s="32"/>
      <c r="N4" s="32"/>
      <c r="O4" s="32"/>
      <c r="P4" s="32"/>
      <c r="Q4" s="32"/>
      <c r="R4" s="32"/>
      <c r="S4" s="32"/>
      <c r="T4" s="32"/>
      <c r="U4" s="32"/>
      <c r="V4" s="33"/>
      <c r="W4" s="34"/>
      <c r="X4" s="17"/>
    </row>
    <row r="5" spans="1:24" s="18" customFormat="1" ht="14.25">
      <c r="A5" s="28" t="s">
        <v>13</v>
      </c>
      <c r="B5" s="35" t="s">
        <v>1</v>
      </c>
      <c r="C5" s="36">
        <v>75384.021599999993</v>
      </c>
      <c r="D5" s="36">
        <v>349698.10019999999</v>
      </c>
      <c r="E5" s="36">
        <v>673744.69305</v>
      </c>
      <c r="F5" s="36">
        <v>1097256.3144</v>
      </c>
      <c r="G5" s="36">
        <v>1371570.3929999999</v>
      </c>
      <c r="H5" s="36">
        <v>1371570.3929999999</v>
      </c>
      <c r="I5" s="36">
        <v>1371570.3929999999</v>
      </c>
      <c r="J5" s="36">
        <v>1371570.3929999999</v>
      </c>
      <c r="K5" s="36">
        <v>1371570.3929999999</v>
      </c>
      <c r="L5" s="36">
        <v>1371570.3929999999</v>
      </c>
      <c r="M5" s="36">
        <v>1371570.3929999999</v>
      </c>
      <c r="N5" s="36">
        <v>1371570.3929999999</v>
      </c>
      <c r="O5" s="36">
        <v>1371570.3929999999</v>
      </c>
      <c r="P5" s="36">
        <v>1371570.3929999999</v>
      </c>
      <c r="Q5" s="36">
        <v>1371570.3929999999</v>
      </c>
      <c r="R5" s="36">
        <v>1371570.3929999999</v>
      </c>
      <c r="S5" s="36">
        <v>1371570.3929999999</v>
      </c>
      <c r="T5" s="36">
        <v>1371570.3929999999</v>
      </c>
      <c r="U5" s="36">
        <v>1371570.3929999999</v>
      </c>
      <c r="V5" s="36">
        <v>1371570.3929999999</v>
      </c>
      <c r="W5" s="5"/>
      <c r="X5" s="17"/>
    </row>
    <row r="6" spans="1:24" s="18" customFormat="1" ht="14.25">
      <c r="A6" s="38" t="s">
        <v>14</v>
      </c>
      <c r="B6" s="35" t="s">
        <v>1</v>
      </c>
      <c r="C6" s="36">
        <v>29141.508349999996</v>
      </c>
      <c r="D6" s="36">
        <v>91438.026199999993</v>
      </c>
      <c r="E6" s="36">
        <v>385819.61054999998</v>
      </c>
      <c r="F6" s="36">
        <v>647046.18539999996</v>
      </c>
      <c r="G6" s="36">
        <v>808807.73174999992</v>
      </c>
      <c r="H6" s="36">
        <v>808807.73174999992</v>
      </c>
      <c r="I6" s="36">
        <v>808807.73174999992</v>
      </c>
      <c r="J6" s="36">
        <v>808807.73174999992</v>
      </c>
      <c r="K6" s="36">
        <v>808807.73174999992</v>
      </c>
      <c r="L6" s="36">
        <v>808807.73174999992</v>
      </c>
      <c r="M6" s="36">
        <v>808807.73174999992</v>
      </c>
      <c r="N6" s="36">
        <v>808807.73174999992</v>
      </c>
      <c r="O6" s="36">
        <v>808807.73174999992</v>
      </c>
      <c r="P6" s="36">
        <v>808807.73174999992</v>
      </c>
      <c r="Q6" s="36">
        <v>808807.73174999992</v>
      </c>
      <c r="R6" s="36">
        <v>808807.73174999992</v>
      </c>
      <c r="S6" s="36">
        <v>808807.73174999992</v>
      </c>
      <c r="T6" s="36">
        <v>808807.73174999992</v>
      </c>
      <c r="U6" s="36">
        <v>808807.73174999992</v>
      </c>
      <c r="V6" s="36">
        <v>808807.73174999992</v>
      </c>
      <c r="W6" s="5"/>
      <c r="X6" s="17"/>
    </row>
    <row r="7" spans="1:24" s="18" customFormat="1" ht="14.25">
      <c r="A7" s="38" t="s">
        <v>15</v>
      </c>
      <c r="B7" s="35" t="s">
        <v>1</v>
      </c>
      <c r="C7" s="36">
        <v>39088.011199999994</v>
      </c>
      <c r="D7" s="36">
        <v>184272.05279999998</v>
      </c>
      <c r="E7" s="36">
        <v>355980.10199999996</v>
      </c>
      <c r="F7" s="36">
        <v>792928.22719999996</v>
      </c>
      <c r="G7" s="36">
        <v>991160.28399999999</v>
      </c>
      <c r="H7" s="36">
        <v>991160.28399999999</v>
      </c>
      <c r="I7" s="36">
        <v>991160.28399999999</v>
      </c>
      <c r="J7" s="36">
        <v>991160.28399999999</v>
      </c>
      <c r="K7" s="36">
        <v>991160.28399999999</v>
      </c>
      <c r="L7" s="36">
        <v>991160.28399999999</v>
      </c>
      <c r="M7" s="36">
        <v>991160.28399999999</v>
      </c>
      <c r="N7" s="36">
        <v>991160.28399999999</v>
      </c>
      <c r="O7" s="36">
        <v>991160.28399999999</v>
      </c>
      <c r="P7" s="36">
        <v>991160.28399999999</v>
      </c>
      <c r="Q7" s="36">
        <v>991160.28399999999</v>
      </c>
      <c r="R7" s="36">
        <v>991160.28399999999</v>
      </c>
      <c r="S7" s="36">
        <v>991160.28399999999</v>
      </c>
      <c r="T7" s="36">
        <v>991160.28399999999</v>
      </c>
      <c r="U7" s="36">
        <v>991160.28399999999</v>
      </c>
      <c r="V7" s="36">
        <v>991160.28399999999</v>
      </c>
      <c r="W7" s="5"/>
      <c r="X7" s="17"/>
    </row>
    <row r="8" spans="1:24" s="18" customFormat="1" ht="14.25">
      <c r="A8" s="39" t="s">
        <v>16</v>
      </c>
      <c r="B8" s="40" t="s">
        <v>1</v>
      </c>
      <c r="C8" s="36">
        <v>33504.009599999998</v>
      </c>
      <c r="D8" s="36">
        <v>332248.09519999998</v>
      </c>
      <c r="E8" s="36">
        <v>697302.19979999994</v>
      </c>
      <c r="F8" s="36">
        <v>1194976.3424</v>
      </c>
      <c r="G8" s="36">
        <v>1493720.4279999998</v>
      </c>
      <c r="H8" s="36">
        <v>1493720.4279999998</v>
      </c>
      <c r="I8" s="36">
        <v>1493720.4279999998</v>
      </c>
      <c r="J8" s="36">
        <v>1493720.4279999998</v>
      </c>
      <c r="K8" s="36">
        <v>1493720.4279999998</v>
      </c>
      <c r="L8" s="36">
        <v>1493720.4279999998</v>
      </c>
      <c r="M8" s="36">
        <v>1493720.4279999998</v>
      </c>
      <c r="N8" s="36">
        <v>1493720.4279999998</v>
      </c>
      <c r="O8" s="36">
        <v>1493720.4279999998</v>
      </c>
      <c r="P8" s="36">
        <v>1493720.4279999998</v>
      </c>
      <c r="Q8" s="36">
        <v>1493720.4279999998</v>
      </c>
      <c r="R8" s="36">
        <v>1493720.4279999998</v>
      </c>
      <c r="S8" s="36">
        <v>1493720.4279999998</v>
      </c>
      <c r="T8" s="36">
        <v>1493720.4279999998</v>
      </c>
      <c r="U8" s="36">
        <v>1493720.4279999998</v>
      </c>
      <c r="V8" s="36">
        <v>1493720.4279999998</v>
      </c>
      <c r="W8" s="5"/>
      <c r="X8" s="17"/>
    </row>
    <row r="9" spans="1:24" s="18" customFormat="1" ht="14.25">
      <c r="A9" s="39" t="s">
        <v>17</v>
      </c>
      <c r="B9" s="40" t="s">
        <v>1</v>
      </c>
      <c r="C9" s="36">
        <v>354845.85167499998</v>
      </c>
      <c r="D9" s="36">
        <v>837949.24009999959</v>
      </c>
      <c r="E9" s="36">
        <v>1449310.1652749993</v>
      </c>
      <c r="F9" s="36">
        <v>2445443.7006999999</v>
      </c>
      <c r="G9" s="36">
        <v>3056804.6258749999</v>
      </c>
      <c r="H9" s="36">
        <v>3056804.6258749999</v>
      </c>
      <c r="I9" s="36">
        <v>3056804.6258749999</v>
      </c>
      <c r="J9" s="36">
        <v>3056804.6258749999</v>
      </c>
      <c r="K9" s="36">
        <v>3056804.6258749999</v>
      </c>
      <c r="L9" s="36">
        <v>3056804.6258749999</v>
      </c>
      <c r="M9" s="36">
        <v>3056804.6258749999</v>
      </c>
      <c r="N9" s="36">
        <v>3056804.6258749999</v>
      </c>
      <c r="O9" s="36">
        <v>3056804.6258749999</v>
      </c>
      <c r="P9" s="36">
        <v>3056804.6258749999</v>
      </c>
      <c r="Q9" s="36">
        <v>3056804.6258749999</v>
      </c>
      <c r="R9" s="36">
        <v>3056804.6258749999</v>
      </c>
      <c r="S9" s="36">
        <v>3056804.6258749999</v>
      </c>
      <c r="T9" s="36">
        <v>3056804.6258749999</v>
      </c>
      <c r="U9" s="36">
        <v>3056804.6258749999</v>
      </c>
      <c r="V9" s="36">
        <v>3056804.6258749999</v>
      </c>
      <c r="W9" s="5"/>
      <c r="X9" s="17"/>
    </row>
    <row r="10" spans="1:24" s="18" customFormat="1" thickBot="1">
      <c r="A10" s="53" t="s">
        <v>43</v>
      </c>
      <c r="B10" s="42" t="s">
        <v>1</v>
      </c>
      <c r="C10" s="36">
        <v>47813.013699999996</v>
      </c>
      <c r="D10" s="36">
        <v>95626.027399999992</v>
      </c>
      <c r="E10" s="36">
        <v>143439.0411</v>
      </c>
      <c r="F10" s="36">
        <v>191252.05479999998</v>
      </c>
      <c r="G10" s="36">
        <v>239065.06849999999</v>
      </c>
      <c r="H10" s="36">
        <v>239065.06849999999</v>
      </c>
      <c r="I10" s="36">
        <v>239065.06849999999</v>
      </c>
      <c r="J10" s="36">
        <v>239065.06849999999</v>
      </c>
      <c r="K10" s="36">
        <v>239065.06849999999</v>
      </c>
      <c r="L10" s="36">
        <v>239065.06849999999</v>
      </c>
      <c r="M10" s="36">
        <v>239065.06849999999</v>
      </c>
      <c r="N10" s="36">
        <v>239065.06849999999</v>
      </c>
      <c r="O10" s="36">
        <v>239065.06849999999</v>
      </c>
      <c r="P10" s="36">
        <v>239065.06849999999</v>
      </c>
      <c r="Q10" s="36">
        <v>239065.06849999999</v>
      </c>
      <c r="R10" s="36">
        <v>239065.06849999999</v>
      </c>
      <c r="S10" s="36">
        <v>239065.06849999999</v>
      </c>
      <c r="T10" s="36">
        <v>239065.06849999999</v>
      </c>
      <c r="U10" s="36">
        <v>239065.06849999999</v>
      </c>
      <c r="V10" s="36">
        <v>239065.06849999999</v>
      </c>
      <c r="W10" s="5"/>
      <c r="X10" s="17"/>
    </row>
    <row r="11" spans="1:24" s="48" customFormat="1" thickBot="1">
      <c r="A11" s="43" t="s">
        <v>19</v>
      </c>
      <c r="B11" s="44" t="s">
        <v>1</v>
      </c>
      <c r="C11" s="45">
        <v>579776.41612499999</v>
      </c>
      <c r="D11" s="45">
        <v>1891231.5418999996</v>
      </c>
      <c r="E11" s="45">
        <v>3705595.8117749989</v>
      </c>
      <c r="F11" s="45">
        <v>6368902.8248999994</v>
      </c>
      <c r="G11" s="45">
        <v>7961128.5311249997</v>
      </c>
      <c r="H11" s="45">
        <v>7961128.5311249997</v>
      </c>
      <c r="I11" s="45">
        <v>7961128.5311249997</v>
      </c>
      <c r="J11" s="45">
        <v>7961128.5311249997</v>
      </c>
      <c r="K11" s="45">
        <v>7961128.5311249997</v>
      </c>
      <c r="L11" s="45">
        <v>7961128.5311249997</v>
      </c>
      <c r="M11" s="45">
        <v>7961128.5311249997</v>
      </c>
      <c r="N11" s="45">
        <v>7961128.5311249997</v>
      </c>
      <c r="O11" s="45">
        <v>7961128.5311249997</v>
      </c>
      <c r="P11" s="45">
        <v>7961128.5311249997</v>
      </c>
      <c r="Q11" s="45">
        <v>7961128.5311249997</v>
      </c>
      <c r="R11" s="45">
        <v>7961128.5311249997</v>
      </c>
      <c r="S11" s="45">
        <v>7961128.5311249997</v>
      </c>
      <c r="T11" s="45">
        <v>7961128.5311249997</v>
      </c>
      <c r="U11" s="45">
        <v>7961128.5311249997</v>
      </c>
      <c r="V11" s="46">
        <v>7961128.5311249997</v>
      </c>
      <c r="W11" s="14"/>
      <c r="X11" s="47"/>
    </row>
    <row r="12" spans="1:24" s="18" customFormat="1" ht="14.25">
      <c r="A12" s="49" t="s">
        <v>3</v>
      </c>
      <c r="B12" s="50"/>
      <c r="C12" s="36"/>
      <c r="D12" s="36"/>
      <c r="E12" s="36"/>
      <c r="F12" s="36"/>
      <c r="G12" s="36"/>
      <c r="H12" s="36"/>
      <c r="I12" s="36"/>
      <c r="J12" s="36"/>
      <c r="K12" s="36"/>
      <c r="L12" s="36"/>
      <c r="M12" s="36"/>
      <c r="N12" s="36"/>
      <c r="O12" s="36"/>
      <c r="P12" s="36"/>
      <c r="Q12" s="36"/>
      <c r="R12" s="36"/>
      <c r="S12" s="36"/>
      <c r="T12" s="36"/>
      <c r="U12" s="36"/>
      <c r="V12" s="37"/>
      <c r="W12" s="5"/>
      <c r="X12" s="17"/>
    </row>
    <row r="13" spans="1:24" s="18" customFormat="1" ht="14.25">
      <c r="A13" s="41" t="s">
        <v>35</v>
      </c>
      <c r="B13" s="35" t="s">
        <v>1</v>
      </c>
      <c r="C13" s="36">
        <v>174500.05</v>
      </c>
      <c r="D13" s="36">
        <v>174500.05</v>
      </c>
      <c r="E13" s="36">
        <v>174500.05</v>
      </c>
      <c r="F13" s="36">
        <v>174500.05</v>
      </c>
      <c r="G13" s="36">
        <v>174500.05</v>
      </c>
      <c r="H13" s="36">
        <v>0</v>
      </c>
      <c r="I13" s="36"/>
      <c r="J13" s="36"/>
      <c r="K13" s="36"/>
      <c r="L13" s="36"/>
      <c r="M13" s="36"/>
      <c r="N13" s="36"/>
      <c r="O13" s="36"/>
      <c r="P13" s="36"/>
      <c r="Q13" s="36"/>
      <c r="R13" s="36"/>
      <c r="S13" s="36"/>
      <c r="T13" s="36"/>
      <c r="U13" s="36"/>
      <c r="V13" s="37"/>
      <c r="W13" s="5"/>
      <c r="X13" s="17"/>
    </row>
    <row r="14" spans="1:24" s="18" customFormat="1" ht="14.25">
      <c r="A14" s="51" t="s">
        <v>13</v>
      </c>
      <c r="B14" s="35" t="s">
        <v>1</v>
      </c>
      <c r="C14" s="36">
        <v>266636.07640000002</v>
      </c>
      <c r="D14" s="36">
        <v>533272.15280000004</v>
      </c>
      <c r="E14" s="36">
        <v>799908.22920000006</v>
      </c>
      <c r="F14" s="36">
        <v>1066544.3056000001</v>
      </c>
      <c r="G14" s="36">
        <v>1333180.3819999998</v>
      </c>
      <c r="H14" s="36">
        <v>1333180.3819999998</v>
      </c>
      <c r="I14" s="36">
        <v>1333180.3819999998</v>
      </c>
      <c r="J14" s="36">
        <v>1333180.3819999998</v>
      </c>
      <c r="K14" s="36">
        <v>1333180.3819999998</v>
      </c>
      <c r="L14" s="36">
        <v>1333180.3819999998</v>
      </c>
      <c r="M14" s="36">
        <v>1333180.3819999998</v>
      </c>
      <c r="N14" s="36">
        <v>1333180.3819999998</v>
      </c>
      <c r="O14" s="36">
        <v>1333180.3819999998</v>
      </c>
      <c r="P14" s="36">
        <v>1333180.3819999998</v>
      </c>
      <c r="Q14" s="36">
        <v>1333180.3819999998</v>
      </c>
      <c r="R14" s="36">
        <v>1333180.3819999998</v>
      </c>
      <c r="S14" s="36">
        <v>1333180.3819999998</v>
      </c>
      <c r="T14" s="36">
        <v>1333180.3819999998</v>
      </c>
      <c r="U14" s="36">
        <v>1333180.3819999998</v>
      </c>
      <c r="V14" s="36">
        <v>1333180.3819999998</v>
      </c>
      <c r="W14" s="5"/>
      <c r="X14" s="17"/>
    </row>
    <row r="15" spans="1:24" s="48" customFormat="1" ht="14.25">
      <c r="A15" s="38" t="s">
        <v>14</v>
      </c>
      <c r="B15" s="35" t="s">
        <v>1</v>
      </c>
      <c r="C15" s="36">
        <v>122848.03519999998</v>
      </c>
      <c r="D15" s="36">
        <v>245696.07039999997</v>
      </c>
      <c r="E15" s="36">
        <v>368544.10560000001</v>
      </c>
      <c r="F15" s="36">
        <v>491392.14079999994</v>
      </c>
      <c r="G15" s="36">
        <v>614240.17599999998</v>
      </c>
      <c r="H15" s="36">
        <v>614240.17599999998</v>
      </c>
      <c r="I15" s="36">
        <v>614240.17599999998</v>
      </c>
      <c r="J15" s="36">
        <v>614240.17599999998</v>
      </c>
      <c r="K15" s="36">
        <v>614240.17599999998</v>
      </c>
      <c r="L15" s="36">
        <v>614240.17599999998</v>
      </c>
      <c r="M15" s="36">
        <v>614240.17599999998</v>
      </c>
      <c r="N15" s="36">
        <v>614240.17599999998</v>
      </c>
      <c r="O15" s="36">
        <v>614240.17599999998</v>
      </c>
      <c r="P15" s="36">
        <v>614240.17599999998</v>
      </c>
      <c r="Q15" s="36">
        <v>614240.17599999998</v>
      </c>
      <c r="R15" s="36">
        <v>614240.17599999998</v>
      </c>
      <c r="S15" s="36">
        <v>614240.17599999998</v>
      </c>
      <c r="T15" s="36">
        <v>614240.17599999998</v>
      </c>
      <c r="U15" s="36">
        <v>614240.17599999998</v>
      </c>
      <c r="V15" s="36">
        <v>614240.17599999998</v>
      </c>
      <c r="W15" s="5"/>
      <c r="X15" s="47"/>
    </row>
    <row r="16" spans="1:24" s="48" customFormat="1" ht="14.25">
      <c r="A16" s="38" t="s">
        <v>15</v>
      </c>
      <c r="B16" s="35" t="s">
        <v>1</v>
      </c>
      <c r="C16" s="36">
        <v>154100.99415499996</v>
      </c>
      <c r="D16" s="36">
        <v>308201.98830999993</v>
      </c>
      <c r="E16" s="36">
        <v>462302.98246499995</v>
      </c>
      <c r="F16" s="36">
        <v>616403.97661999986</v>
      </c>
      <c r="G16" s="36">
        <v>770504.97077499994</v>
      </c>
      <c r="H16" s="36">
        <v>770504.97077499994</v>
      </c>
      <c r="I16" s="36">
        <v>770504.97077499994</v>
      </c>
      <c r="J16" s="36">
        <v>770504.97077499994</v>
      </c>
      <c r="K16" s="36">
        <v>770504.97077499994</v>
      </c>
      <c r="L16" s="36">
        <v>770504.97077499994</v>
      </c>
      <c r="M16" s="36">
        <v>770504.97077499994</v>
      </c>
      <c r="N16" s="36">
        <v>770504.97077499994</v>
      </c>
      <c r="O16" s="36">
        <v>770504.97077499994</v>
      </c>
      <c r="P16" s="36">
        <v>770504.97077499994</v>
      </c>
      <c r="Q16" s="36">
        <v>770504.97077499994</v>
      </c>
      <c r="R16" s="36">
        <v>770504.97077499994</v>
      </c>
      <c r="S16" s="36">
        <v>770504.97077499994</v>
      </c>
      <c r="T16" s="36">
        <v>770504.97077499994</v>
      </c>
      <c r="U16" s="36">
        <v>770504.97077499994</v>
      </c>
      <c r="V16" s="36">
        <v>770504.97077499994</v>
      </c>
      <c r="W16" s="5"/>
      <c r="X16" s="47"/>
    </row>
    <row r="17" spans="1:24" s="48" customFormat="1" ht="14.25">
      <c r="A17" s="39" t="s">
        <v>16</v>
      </c>
      <c r="B17" s="40" t="s">
        <v>1</v>
      </c>
      <c r="C17" s="36">
        <v>240810.06900000002</v>
      </c>
      <c r="D17" s="36">
        <v>481620.13800000004</v>
      </c>
      <c r="E17" s="36">
        <v>722430.20699999994</v>
      </c>
      <c r="F17" s="36">
        <v>963240.27600000007</v>
      </c>
      <c r="G17" s="36">
        <v>1204050.3449999997</v>
      </c>
      <c r="H17" s="36">
        <v>1204050.3449999997</v>
      </c>
      <c r="I17" s="36">
        <v>1204050.3449999997</v>
      </c>
      <c r="J17" s="36">
        <v>1204050.3449999997</v>
      </c>
      <c r="K17" s="36">
        <v>1204050.3449999997</v>
      </c>
      <c r="L17" s="36">
        <v>1204050.3449999997</v>
      </c>
      <c r="M17" s="36">
        <v>1204050.3449999997</v>
      </c>
      <c r="N17" s="36">
        <v>1204050.3449999997</v>
      </c>
      <c r="O17" s="36">
        <v>1204050.3449999997</v>
      </c>
      <c r="P17" s="36">
        <v>1204050.3449999997</v>
      </c>
      <c r="Q17" s="36">
        <v>1204050.3449999997</v>
      </c>
      <c r="R17" s="36">
        <v>1204050.3449999997</v>
      </c>
      <c r="S17" s="36">
        <v>1204050.3449999997</v>
      </c>
      <c r="T17" s="36">
        <v>1204050.3449999997</v>
      </c>
      <c r="U17" s="36">
        <v>1204050.3449999997</v>
      </c>
      <c r="V17" s="36">
        <v>1204050.3449999997</v>
      </c>
      <c r="W17" s="5"/>
      <c r="X17" s="47"/>
    </row>
    <row r="18" spans="1:24" s="18" customFormat="1" thickBot="1">
      <c r="A18" s="39" t="s">
        <v>17</v>
      </c>
      <c r="B18" s="40" t="s">
        <v>1</v>
      </c>
      <c r="C18" s="36">
        <v>554652.77142624999</v>
      </c>
      <c r="D18" s="36">
        <v>1109305.5428525</v>
      </c>
      <c r="E18" s="36">
        <v>1663958.3142787497</v>
      </c>
      <c r="F18" s="36">
        <v>2218611.085705</v>
      </c>
      <c r="G18" s="36">
        <v>2773263.8571312497</v>
      </c>
      <c r="H18" s="36">
        <v>2773263.8571312497</v>
      </c>
      <c r="I18" s="36">
        <v>2773263.8571312497</v>
      </c>
      <c r="J18" s="36">
        <v>2773263.8571312497</v>
      </c>
      <c r="K18" s="36">
        <v>2773263.8571312497</v>
      </c>
      <c r="L18" s="36">
        <v>2773263.8571312497</v>
      </c>
      <c r="M18" s="36">
        <v>2773263.8571312497</v>
      </c>
      <c r="N18" s="36">
        <v>2773263.8571312497</v>
      </c>
      <c r="O18" s="36">
        <v>2773263.8571312497</v>
      </c>
      <c r="P18" s="36">
        <v>2773263.8571312497</v>
      </c>
      <c r="Q18" s="36">
        <v>2773263.8571312497</v>
      </c>
      <c r="R18" s="36">
        <v>2773263.8571312497</v>
      </c>
      <c r="S18" s="36">
        <v>2773263.8571312497</v>
      </c>
      <c r="T18" s="36">
        <v>2773263.8571312497</v>
      </c>
      <c r="U18" s="36">
        <v>2773263.8571312497</v>
      </c>
      <c r="V18" s="36">
        <v>2773263.8571312497</v>
      </c>
      <c r="W18" s="5"/>
      <c r="X18" s="17"/>
    </row>
    <row r="19" spans="1:24" s="48" customFormat="1" thickBot="1">
      <c r="A19" s="52" t="s">
        <v>21</v>
      </c>
      <c r="B19" s="44" t="s">
        <v>1</v>
      </c>
      <c r="C19" s="45">
        <v>1513547.9961812501</v>
      </c>
      <c r="D19" s="45">
        <v>2852595.9423625004</v>
      </c>
      <c r="E19" s="45">
        <v>4191643.8885437497</v>
      </c>
      <c r="F19" s="45">
        <v>5530691.834725</v>
      </c>
      <c r="G19" s="45">
        <v>6869739.7809062488</v>
      </c>
      <c r="H19" s="45">
        <v>6695239.730906249</v>
      </c>
      <c r="I19" s="45">
        <v>6695239.730906249</v>
      </c>
      <c r="J19" s="45">
        <v>6695239.730906249</v>
      </c>
      <c r="K19" s="45">
        <v>6695239.730906249</v>
      </c>
      <c r="L19" s="45">
        <v>6695239.730906249</v>
      </c>
      <c r="M19" s="45">
        <v>6695239.730906249</v>
      </c>
      <c r="N19" s="45">
        <v>6695239.730906249</v>
      </c>
      <c r="O19" s="45">
        <v>6695239.730906249</v>
      </c>
      <c r="P19" s="45">
        <v>6695239.730906249</v>
      </c>
      <c r="Q19" s="45">
        <v>6695239.730906249</v>
      </c>
      <c r="R19" s="45">
        <v>6695239.730906249</v>
      </c>
      <c r="S19" s="45">
        <v>6695239.730906249</v>
      </c>
      <c r="T19" s="45">
        <v>6695239.730906249</v>
      </c>
      <c r="U19" s="45">
        <v>6695239.730906249</v>
      </c>
      <c r="V19" s="46">
        <v>6695239.730906249</v>
      </c>
      <c r="W19" s="14"/>
      <c r="X19" s="47"/>
    </row>
    <row r="20" spans="1:24" s="48" customFormat="1" ht="14.25">
      <c r="A20" s="53" t="s">
        <v>0</v>
      </c>
      <c r="B20" s="54" t="s">
        <v>1</v>
      </c>
      <c r="C20" s="45">
        <v>-933771.5800562501</v>
      </c>
      <c r="D20" s="45">
        <v>-961364.40046250075</v>
      </c>
      <c r="E20" s="45">
        <v>-486048.07676875079</v>
      </c>
      <c r="F20" s="45">
        <v>838210.99017499946</v>
      </c>
      <c r="G20" s="45">
        <v>1091388.7502187509</v>
      </c>
      <c r="H20" s="45">
        <v>1265888.8002187507</v>
      </c>
      <c r="I20" s="45">
        <v>1265888.8002187507</v>
      </c>
      <c r="J20" s="45">
        <v>1265888.8002187507</v>
      </c>
      <c r="K20" s="45">
        <v>1265888.8002187507</v>
      </c>
      <c r="L20" s="45">
        <v>1265888.8002187507</v>
      </c>
      <c r="M20" s="45">
        <v>1265888.8002187507</v>
      </c>
      <c r="N20" s="45">
        <v>1265888.8002187507</v>
      </c>
      <c r="O20" s="45">
        <v>1265888.8002187507</v>
      </c>
      <c r="P20" s="45">
        <v>1265888.8002187507</v>
      </c>
      <c r="Q20" s="45">
        <v>1265888.8002187507</v>
      </c>
      <c r="R20" s="45">
        <v>1265888.8002187507</v>
      </c>
      <c r="S20" s="45">
        <v>1265888.8002187507</v>
      </c>
      <c r="T20" s="45">
        <v>1265888.8002187507</v>
      </c>
      <c r="U20" s="45">
        <v>1265888.8002187507</v>
      </c>
      <c r="V20" s="46">
        <v>1265888.8002187507</v>
      </c>
      <c r="W20" s="14"/>
      <c r="X20" s="47"/>
    </row>
    <row r="21" spans="1:24" s="18" customFormat="1" ht="14.25">
      <c r="A21" s="55"/>
      <c r="B21" s="56"/>
      <c r="C21" s="36"/>
      <c r="D21" s="36"/>
      <c r="E21" s="36"/>
      <c r="F21" s="36"/>
      <c r="G21" s="36"/>
      <c r="H21" s="36"/>
      <c r="I21" s="36"/>
      <c r="J21" s="36"/>
      <c r="K21" s="36"/>
      <c r="L21" s="36"/>
      <c r="M21" s="36"/>
      <c r="N21" s="36"/>
      <c r="O21" s="36"/>
      <c r="P21" s="36"/>
      <c r="Q21" s="36"/>
      <c r="R21" s="36"/>
      <c r="S21" s="36"/>
      <c r="T21" s="36"/>
      <c r="U21" s="36"/>
      <c r="V21" s="37"/>
      <c r="W21" s="5"/>
      <c r="X21" s="17"/>
    </row>
    <row r="22" spans="1:24" s="18" customFormat="1" ht="14.25">
      <c r="A22" s="57" t="s">
        <v>36</v>
      </c>
      <c r="B22" s="54" t="s">
        <v>1</v>
      </c>
      <c r="C22" s="36">
        <v>19271.016330789906</v>
      </c>
      <c r="D22" s="36">
        <v>39482.08223869151</v>
      </c>
      <c r="E22" s="36">
        <v>60633.19772370482</v>
      </c>
      <c r="F22" s="36">
        <v>82724.362785829842</v>
      </c>
      <c r="G22" s="36">
        <v>105755.57742506656</v>
      </c>
      <c r="H22" s="36">
        <v>108105.7013678458</v>
      </c>
      <c r="I22" s="36">
        <v>110455.82531062508</v>
      </c>
      <c r="J22" s="36">
        <v>112805.94925340432</v>
      </c>
      <c r="K22" s="36">
        <v>115156.0731961836</v>
      </c>
      <c r="L22" s="36">
        <v>117506.19713896285</v>
      </c>
      <c r="M22" s="36">
        <v>119856.32108174211</v>
      </c>
      <c r="N22" s="36">
        <v>122206.44502452135</v>
      </c>
      <c r="O22" s="36">
        <v>124556.56896730061</v>
      </c>
      <c r="P22" s="36">
        <v>129256.81685285912</v>
      </c>
      <c r="Q22" s="36">
        <v>131606.94079563837</v>
      </c>
      <c r="R22" s="36">
        <v>133957.06473841763</v>
      </c>
      <c r="S22" s="36">
        <v>136307.18868119689</v>
      </c>
      <c r="T22" s="36">
        <v>141007.43656675541</v>
      </c>
      <c r="U22" s="36">
        <v>143357.56050953464</v>
      </c>
      <c r="V22" s="36">
        <v>148057.80839509316</v>
      </c>
      <c r="W22" s="5"/>
      <c r="X22" s="17"/>
    </row>
    <row r="23" spans="1:24" s="18" customFormat="1" ht="14.25">
      <c r="A23" s="57" t="s">
        <v>37</v>
      </c>
      <c r="B23" s="54" t="s">
        <v>1</v>
      </c>
      <c r="C23" s="36">
        <v>38542.032661579811</v>
      </c>
      <c r="D23" s="36">
        <v>78964.164477383019</v>
      </c>
      <c r="E23" s="36">
        <v>121266.39544740964</v>
      </c>
      <c r="F23" s="36">
        <v>163568.62641743629</v>
      </c>
      <c r="G23" s="36">
        <v>209161.03090735388</v>
      </c>
      <c r="H23" s="36">
        <v>213861.27879291237</v>
      </c>
      <c r="I23" s="36">
        <v>220911.65062125016</v>
      </c>
      <c r="J23" s="36">
        <v>225611.89850680865</v>
      </c>
      <c r="K23" s="36">
        <v>230312.1463923672</v>
      </c>
      <c r="L23" s="36">
        <v>235012.39427792569</v>
      </c>
      <c r="M23" s="36">
        <v>239712.64216348421</v>
      </c>
      <c r="N23" s="36">
        <v>246763.01399182194</v>
      </c>
      <c r="O23" s="36">
        <v>251463.26187738046</v>
      </c>
      <c r="P23" s="36">
        <v>256163.50976293895</v>
      </c>
      <c r="Q23" s="36">
        <v>263213.88159127673</v>
      </c>
      <c r="R23" s="36">
        <v>267914.12947683525</v>
      </c>
      <c r="S23" s="36">
        <v>274964.50130517303</v>
      </c>
      <c r="T23" s="36">
        <v>282014.87313351082</v>
      </c>
      <c r="U23" s="36">
        <v>286715.12101906928</v>
      </c>
      <c r="V23" s="36">
        <v>293765.49284740712</v>
      </c>
      <c r="W23" s="5"/>
      <c r="X23" s="17"/>
    </row>
    <row r="24" spans="1:24" s="18" customFormat="1" ht="14.25">
      <c r="A24" s="58"/>
      <c r="B24" s="54"/>
      <c r="C24" s="36"/>
      <c r="D24" s="36"/>
      <c r="E24" s="36"/>
      <c r="F24" s="36"/>
      <c r="G24" s="36"/>
      <c r="H24" s="36"/>
      <c r="I24" s="36"/>
      <c r="J24" s="36"/>
      <c r="K24" s="36"/>
      <c r="L24" s="36"/>
      <c r="M24" s="36"/>
      <c r="N24" s="36"/>
      <c r="O24" s="36"/>
      <c r="P24" s="36"/>
      <c r="Q24" s="36"/>
      <c r="R24" s="36"/>
      <c r="S24" s="36"/>
      <c r="T24" s="36"/>
      <c r="U24" s="36"/>
      <c r="V24" s="37"/>
      <c r="W24" s="5"/>
      <c r="X24" s="17"/>
    </row>
    <row r="25" spans="1:24" s="48" customFormat="1" ht="14.25">
      <c r="A25" s="59" t="s">
        <v>38</v>
      </c>
      <c r="B25" s="54"/>
      <c r="C25" s="45">
        <v>-914500.5637254602</v>
      </c>
      <c r="D25" s="45">
        <v>-921882.31822380924</v>
      </c>
      <c r="E25" s="45">
        <v>-425414.87904504599</v>
      </c>
      <c r="F25" s="45">
        <v>920935.35296082927</v>
      </c>
      <c r="G25" s="45">
        <v>1197144.3276438175</v>
      </c>
      <c r="H25" s="45">
        <v>1373994.5015865965</v>
      </c>
      <c r="I25" s="45">
        <v>1376344.6255293759</v>
      </c>
      <c r="J25" s="45">
        <v>1378694.749472155</v>
      </c>
      <c r="K25" s="45">
        <v>1381044.8734149344</v>
      </c>
      <c r="L25" s="45">
        <v>1383394.9973577135</v>
      </c>
      <c r="M25" s="45">
        <v>1385745.1213004929</v>
      </c>
      <c r="N25" s="45">
        <v>1388095.245243272</v>
      </c>
      <c r="O25" s="45">
        <v>1390445.3691860514</v>
      </c>
      <c r="P25" s="45">
        <v>1395145.6170716099</v>
      </c>
      <c r="Q25" s="45">
        <v>1397495.7410143891</v>
      </c>
      <c r="R25" s="45">
        <v>1399845.8649571682</v>
      </c>
      <c r="S25" s="45">
        <v>1402195.9888999476</v>
      </c>
      <c r="T25" s="45">
        <v>1406896.2367855061</v>
      </c>
      <c r="U25" s="45">
        <v>1409246.3607282853</v>
      </c>
      <c r="V25" s="46">
        <v>1413946.6086138438</v>
      </c>
      <c r="W25" s="14"/>
      <c r="X25" s="47"/>
    </row>
    <row r="26" spans="1:24" s="48" customFormat="1" thickBot="1">
      <c r="A26" s="60" t="s">
        <v>39</v>
      </c>
      <c r="B26" s="61"/>
      <c r="C26" s="62">
        <v>-895229.54739467031</v>
      </c>
      <c r="D26" s="62">
        <v>-882400.23598511773</v>
      </c>
      <c r="E26" s="62">
        <v>-364781.68132134114</v>
      </c>
      <c r="F26" s="62">
        <v>1001779.6165924357</v>
      </c>
      <c r="G26" s="62">
        <v>1300549.7811261048</v>
      </c>
      <c r="H26" s="62">
        <v>1479750.0790116631</v>
      </c>
      <c r="I26" s="62">
        <v>1486800.450840001</v>
      </c>
      <c r="J26" s="62">
        <v>1491500.6987255593</v>
      </c>
      <c r="K26" s="62">
        <v>1496200.946611118</v>
      </c>
      <c r="L26" s="62">
        <v>1500901.1944966763</v>
      </c>
      <c r="M26" s="62">
        <v>1505601.4423822348</v>
      </c>
      <c r="N26" s="62">
        <v>1512651.8142105727</v>
      </c>
      <c r="O26" s="62">
        <v>1517352.0620961313</v>
      </c>
      <c r="P26" s="62">
        <v>1522052.3099816898</v>
      </c>
      <c r="Q26" s="62">
        <v>1529102.6818100275</v>
      </c>
      <c r="R26" s="62">
        <v>1533802.929695586</v>
      </c>
      <c r="S26" s="62">
        <v>1540853.3015239239</v>
      </c>
      <c r="T26" s="62">
        <v>1547903.6733522615</v>
      </c>
      <c r="U26" s="62">
        <v>1552603.9212378201</v>
      </c>
      <c r="V26" s="63">
        <v>1559654.293066158</v>
      </c>
      <c r="W26" s="14"/>
      <c r="X26" s="47"/>
    </row>
    <row r="27" spans="1:24" s="18" customFormat="1" thickBot="1">
      <c r="A27" s="64"/>
      <c r="B27" s="22"/>
      <c r="C27" s="65"/>
      <c r="D27" s="65"/>
      <c r="E27" s="65"/>
      <c r="F27" s="65"/>
      <c r="G27" s="65"/>
      <c r="H27" s="65"/>
      <c r="I27" s="66"/>
      <c r="J27" s="66"/>
      <c r="K27" s="67"/>
      <c r="L27" s="67"/>
      <c r="M27" s="67"/>
      <c r="N27" s="67"/>
      <c r="O27" s="67"/>
      <c r="P27" s="67"/>
      <c r="Q27" s="67"/>
      <c r="R27" s="67"/>
      <c r="S27" s="67"/>
      <c r="T27" s="67"/>
      <c r="U27" s="67"/>
      <c r="V27" s="68"/>
      <c r="W27" s="69"/>
      <c r="X27" s="17"/>
    </row>
    <row r="28" spans="1:24" s="18" customFormat="1" ht="14.25">
      <c r="A28" s="134" t="s">
        <v>22</v>
      </c>
      <c r="B28" s="135"/>
      <c r="C28" s="70"/>
      <c r="D28" s="71"/>
      <c r="E28" s="71"/>
      <c r="F28" s="71"/>
      <c r="G28" s="71"/>
      <c r="H28" s="71"/>
      <c r="I28" s="72"/>
      <c r="J28" s="72"/>
      <c r="K28" s="66"/>
      <c r="L28" s="66"/>
      <c r="M28" s="66"/>
      <c r="N28" s="66"/>
      <c r="O28" s="66"/>
      <c r="P28" s="66"/>
      <c r="Q28" s="66"/>
      <c r="R28" s="66"/>
      <c r="S28" s="66"/>
      <c r="T28" s="66"/>
      <c r="U28" s="66"/>
      <c r="V28" s="73"/>
      <c r="W28" s="74"/>
      <c r="X28" s="17"/>
    </row>
    <row r="29" spans="1:24" s="18" customFormat="1" ht="14.25">
      <c r="A29" s="53" t="s">
        <v>10</v>
      </c>
      <c r="B29" s="75">
        <v>8.5000000000000006E-2</v>
      </c>
      <c r="C29" s="70"/>
      <c r="D29" s="71"/>
      <c r="E29" s="71"/>
      <c r="F29" s="71"/>
      <c r="G29" s="71"/>
      <c r="H29" s="71"/>
      <c r="I29" s="72"/>
      <c r="J29" s="72"/>
      <c r="K29" s="72"/>
      <c r="L29" s="72"/>
      <c r="M29" s="72"/>
      <c r="N29" s="72"/>
      <c r="O29" s="72"/>
      <c r="P29" s="72"/>
      <c r="Q29" s="72"/>
      <c r="R29" s="72"/>
      <c r="S29" s="72"/>
      <c r="T29" s="72"/>
      <c r="U29" s="72"/>
      <c r="V29" s="76"/>
      <c r="W29" s="74"/>
      <c r="X29" s="17"/>
    </row>
    <row r="30" spans="1:24" s="18" customFormat="1" thickBot="1">
      <c r="A30" s="136" t="s">
        <v>23</v>
      </c>
      <c r="B30" s="137"/>
      <c r="C30" s="77"/>
      <c r="D30" s="72"/>
      <c r="E30" s="72"/>
      <c r="F30" s="72"/>
      <c r="G30" s="72"/>
      <c r="H30" s="72"/>
      <c r="I30" s="72"/>
      <c r="J30" s="72"/>
      <c r="K30" s="72"/>
      <c r="L30" s="72"/>
      <c r="M30" s="72"/>
      <c r="N30" s="72"/>
      <c r="O30" s="72"/>
      <c r="P30" s="72"/>
      <c r="Q30" s="72"/>
      <c r="R30" s="72"/>
      <c r="S30" s="72"/>
      <c r="T30" s="72"/>
      <c r="U30" s="72"/>
      <c r="V30" s="76"/>
      <c r="W30" s="74"/>
      <c r="X30" s="17"/>
    </row>
    <row r="31" spans="1:24" s="18" customFormat="1" thickBot="1">
      <c r="A31" s="78" t="s">
        <v>7</v>
      </c>
      <c r="B31" s="46">
        <v>6263985.7236581296</v>
      </c>
      <c r="C31" s="80" t="s">
        <v>1</v>
      </c>
      <c r="D31" s="80"/>
      <c r="E31" s="80"/>
      <c r="F31" s="80"/>
      <c r="G31" s="80"/>
      <c r="H31" s="80"/>
      <c r="I31" s="80"/>
      <c r="J31" s="80"/>
      <c r="K31" s="72"/>
      <c r="L31" s="72"/>
      <c r="M31" s="72"/>
      <c r="N31" s="72"/>
      <c r="O31" s="72"/>
      <c r="P31" s="72"/>
      <c r="Q31" s="72"/>
      <c r="R31" s="72"/>
      <c r="S31" s="72"/>
      <c r="T31" s="72"/>
      <c r="U31" s="72"/>
      <c r="V31" s="76"/>
      <c r="W31" s="74"/>
      <c r="X31" s="17"/>
    </row>
    <row r="32" spans="1:24" s="18" customFormat="1" thickBot="1">
      <c r="A32" s="78" t="s">
        <v>8</v>
      </c>
      <c r="B32" s="75">
        <v>0.32784946445798041</v>
      </c>
      <c r="C32" s="82" t="s">
        <v>24</v>
      </c>
      <c r="D32" s="82"/>
      <c r="E32" s="82"/>
      <c r="F32" s="82"/>
      <c r="G32" s="82"/>
      <c r="H32" s="82"/>
      <c r="I32" s="82"/>
      <c r="J32" s="82"/>
      <c r="K32" s="72"/>
      <c r="L32" s="72"/>
      <c r="M32" s="72"/>
      <c r="N32" s="72"/>
      <c r="O32" s="72"/>
      <c r="P32" s="72"/>
      <c r="Q32" s="72"/>
      <c r="R32" s="72"/>
      <c r="S32" s="72"/>
      <c r="T32" s="72"/>
      <c r="U32" s="72"/>
      <c r="V32" s="76"/>
      <c r="W32" s="74"/>
      <c r="X32" s="17"/>
    </row>
    <row r="33" spans="1:24" s="18" customFormat="1" thickBot="1">
      <c r="A33" s="78" t="s">
        <v>9</v>
      </c>
      <c r="B33" s="75">
        <v>0.16779712222161125</v>
      </c>
      <c r="C33" s="80" t="s">
        <v>24</v>
      </c>
      <c r="D33" s="80"/>
      <c r="E33" s="80"/>
      <c r="F33" s="80"/>
      <c r="G33" s="80"/>
      <c r="H33" s="80"/>
      <c r="I33" s="80"/>
      <c r="J33" s="80"/>
      <c r="K33" s="72"/>
      <c r="L33" s="72"/>
      <c r="M33" s="72"/>
      <c r="N33" s="72"/>
      <c r="O33" s="72"/>
      <c r="P33" s="72"/>
      <c r="Q33" s="72"/>
      <c r="R33" s="72"/>
      <c r="S33" s="72"/>
      <c r="T33" s="72"/>
      <c r="U33" s="72"/>
      <c r="V33" s="76"/>
      <c r="W33" s="74"/>
      <c r="X33" s="17"/>
    </row>
    <row r="34" spans="1:24" s="18" customFormat="1" thickBot="1">
      <c r="A34" s="83" t="s">
        <v>25</v>
      </c>
      <c r="B34" s="84">
        <v>1.1527080813870951</v>
      </c>
      <c r="C34" s="85"/>
      <c r="D34" s="86"/>
      <c r="E34" s="85"/>
      <c r="F34" s="85"/>
      <c r="G34" s="85"/>
      <c r="H34" s="85"/>
      <c r="I34" s="85"/>
      <c r="J34" s="85"/>
      <c r="K34" s="72"/>
      <c r="L34" s="72"/>
      <c r="M34" s="72"/>
      <c r="N34" s="72"/>
      <c r="O34" s="72"/>
      <c r="P34" s="72"/>
      <c r="Q34" s="72"/>
      <c r="R34" s="72"/>
      <c r="S34" s="72"/>
      <c r="T34" s="72"/>
      <c r="U34" s="72"/>
      <c r="V34" s="76"/>
      <c r="W34" s="74"/>
      <c r="X34" s="17"/>
    </row>
    <row r="35" spans="1:24" s="18" customFormat="1" thickBot="1">
      <c r="A35" s="87"/>
      <c r="B35" s="88"/>
      <c r="D35" s="89"/>
      <c r="V35" s="90"/>
      <c r="W35" s="91"/>
      <c r="X35" s="17"/>
    </row>
    <row r="36" spans="1:24" s="18" customFormat="1" thickBot="1">
      <c r="A36" s="138" t="s">
        <v>40</v>
      </c>
      <c r="B36" s="139"/>
      <c r="C36" s="71"/>
      <c r="D36" s="92"/>
      <c r="E36" s="71"/>
      <c r="F36" s="71"/>
      <c r="G36" s="71"/>
      <c r="H36" s="71"/>
      <c r="I36" s="72"/>
      <c r="J36" s="72"/>
      <c r="K36" s="66"/>
      <c r="L36" s="66"/>
      <c r="M36" s="66"/>
      <c r="N36" s="66"/>
      <c r="O36" s="66"/>
      <c r="P36" s="66"/>
      <c r="Q36" s="66"/>
      <c r="R36" s="66"/>
      <c r="S36" s="66"/>
      <c r="T36" s="66"/>
      <c r="U36" s="66"/>
      <c r="V36" s="73"/>
      <c r="W36" s="74"/>
      <c r="X36" s="17"/>
    </row>
    <row r="37" spans="1:24" s="18" customFormat="1" thickBot="1">
      <c r="A37" s="93" t="s">
        <v>10</v>
      </c>
      <c r="B37" s="94">
        <v>8.5000000000000006E-2</v>
      </c>
      <c r="C37" s="71"/>
      <c r="D37" s="71"/>
      <c r="E37" s="71"/>
      <c r="F37" s="71"/>
      <c r="G37" s="71"/>
      <c r="H37" s="71"/>
      <c r="I37" s="72"/>
      <c r="J37" s="72"/>
      <c r="K37" s="72"/>
      <c r="L37" s="72"/>
      <c r="M37" s="72"/>
      <c r="N37" s="72"/>
      <c r="O37" s="72"/>
      <c r="P37" s="72"/>
      <c r="Q37" s="72"/>
      <c r="R37" s="72"/>
      <c r="S37" s="72"/>
      <c r="T37" s="72"/>
      <c r="U37" s="72"/>
      <c r="V37" s="76"/>
      <c r="W37" s="74"/>
      <c r="X37" s="17"/>
    </row>
    <row r="38" spans="1:24" s="18" customFormat="1" thickBot="1">
      <c r="A38" s="140" t="s">
        <v>23</v>
      </c>
      <c r="B38" s="141"/>
      <c r="C38" s="72"/>
      <c r="D38" s="72"/>
      <c r="E38" s="72"/>
      <c r="F38" s="72"/>
      <c r="G38" s="72"/>
      <c r="H38" s="72"/>
      <c r="I38" s="72"/>
      <c r="J38" s="72"/>
      <c r="K38" s="72"/>
      <c r="L38" s="72"/>
      <c r="M38" s="72"/>
      <c r="N38" s="72"/>
      <c r="O38" s="72"/>
      <c r="P38" s="72"/>
      <c r="Q38" s="72"/>
      <c r="R38" s="72"/>
      <c r="S38" s="72"/>
      <c r="T38" s="72"/>
      <c r="U38" s="72"/>
      <c r="V38" s="76"/>
      <c r="W38" s="74"/>
      <c r="X38" s="17"/>
    </row>
    <row r="39" spans="1:24" s="18" customFormat="1" thickBot="1">
      <c r="A39" s="13" t="s">
        <v>7</v>
      </c>
      <c r="B39" s="95">
        <v>7167505.84155754</v>
      </c>
      <c r="C39" s="80" t="s">
        <v>1</v>
      </c>
      <c r="D39" s="80"/>
      <c r="E39" s="80"/>
      <c r="F39" s="80"/>
      <c r="G39" s="80"/>
      <c r="H39" s="80"/>
      <c r="I39" s="80"/>
      <c r="J39" s="80"/>
      <c r="K39" s="72"/>
      <c r="L39" s="72"/>
      <c r="M39" s="72"/>
      <c r="N39" s="72"/>
      <c r="O39" s="72"/>
      <c r="P39" s="72"/>
      <c r="Q39" s="72"/>
      <c r="R39" s="72"/>
      <c r="S39" s="72"/>
      <c r="T39" s="72"/>
      <c r="U39" s="72"/>
      <c r="V39" s="76"/>
      <c r="W39" s="74"/>
      <c r="X39" s="17"/>
    </row>
    <row r="40" spans="1:24" s="18" customFormat="1" thickBot="1">
      <c r="A40" s="51" t="s">
        <v>8</v>
      </c>
      <c r="B40" s="96">
        <v>0.36047097735447714</v>
      </c>
      <c r="C40" s="82" t="s">
        <v>24</v>
      </c>
      <c r="D40" s="82"/>
      <c r="E40" s="82"/>
      <c r="F40" s="82"/>
      <c r="G40" s="82"/>
      <c r="H40" s="82"/>
      <c r="I40" s="82"/>
      <c r="J40" s="82"/>
      <c r="K40" s="72"/>
      <c r="L40" s="72"/>
      <c r="M40" s="72"/>
      <c r="N40" s="72"/>
      <c r="O40" s="72"/>
      <c r="P40" s="72"/>
      <c r="Q40" s="72"/>
      <c r="R40" s="72"/>
      <c r="S40" s="72"/>
      <c r="T40" s="72"/>
      <c r="U40" s="72"/>
      <c r="V40" s="76"/>
      <c r="W40" s="74"/>
      <c r="X40" s="17"/>
    </row>
    <row r="41" spans="1:24" s="18" customFormat="1" thickBot="1">
      <c r="A41" s="83" t="s">
        <v>9</v>
      </c>
      <c r="B41" s="97">
        <v>0.17652646314608145</v>
      </c>
      <c r="C41" s="80" t="s">
        <v>24</v>
      </c>
      <c r="D41" s="80"/>
      <c r="E41" s="80"/>
      <c r="F41" s="80"/>
      <c r="G41" s="80"/>
      <c r="H41" s="80"/>
      <c r="I41" s="80"/>
      <c r="J41" s="80"/>
      <c r="K41" s="72"/>
      <c r="L41" s="72"/>
      <c r="M41" s="72"/>
      <c r="N41" s="72"/>
      <c r="O41" s="72"/>
      <c r="P41" s="72"/>
      <c r="Q41" s="72"/>
      <c r="R41" s="72"/>
      <c r="S41" s="72"/>
      <c r="T41" s="72"/>
      <c r="U41" s="72"/>
      <c r="V41" s="76"/>
      <c r="W41" s="74"/>
      <c r="X41" s="17"/>
    </row>
    <row r="42" spans="1:24" ht="15.75" thickBot="1"/>
    <row r="43" spans="1:24" s="18" customFormat="1" thickBot="1">
      <c r="A43" s="138" t="s">
        <v>41</v>
      </c>
      <c r="B43" s="139"/>
      <c r="C43" s="71"/>
      <c r="D43" s="71"/>
      <c r="E43" s="71"/>
      <c r="F43" s="71"/>
      <c r="G43" s="71"/>
      <c r="H43" s="71"/>
      <c r="I43" s="72"/>
      <c r="J43" s="72"/>
      <c r="K43" s="66"/>
      <c r="L43" s="66"/>
      <c r="M43" s="66"/>
      <c r="N43" s="66"/>
      <c r="O43" s="66"/>
      <c r="P43" s="66"/>
      <c r="Q43" s="66"/>
      <c r="R43" s="66"/>
      <c r="S43" s="66"/>
      <c r="T43" s="66"/>
      <c r="U43" s="66"/>
      <c r="V43" s="73"/>
      <c r="W43" s="74"/>
      <c r="X43" s="17"/>
    </row>
    <row r="44" spans="1:24" s="18" customFormat="1" thickBot="1">
      <c r="A44" s="93" t="s">
        <v>10</v>
      </c>
      <c r="B44" s="94">
        <v>8.5000000000000006E-2</v>
      </c>
      <c r="C44" s="71"/>
      <c r="D44" s="71"/>
      <c r="E44" s="71"/>
      <c r="F44" s="71"/>
      <c r="G44" s="71"/>
      <c r="H44" s="71"/>
      <c r="I44" s="72"/>
      <c r="J44" s="72"/>
      <c r="K44" s="72"/>
      <c r="L44" s="72"/>
      <c r="M44" s="72"/>
      <c r="N44" s="72"/>
      <c r="O44" s="72"/>
      <c r="P44" s="72"/>
      <c r="Q44" s="72"/>
      <c r="R44" s="72"/>
      <c r="S44" s="72"/>
      <c r="T44" s="72"/>
      <c r="U44" s="72"/>
      <c r="V44" s="76"/>
      <c r="W44" s="74"/>
      <c r="X44" s="17"/>
    </row>
    <row r="45" spans="1:24" s="18" customFormat="1" thickBot="1">
      <c r="A45" s="140" t="s">
        <v>23</v>
      </c>
      <c r="B45" s="141"/>
      <c r="C45" s="72"/>
      <c r="D45" s="72"/>
      <c r="E45" s="72"/>
      <c r="F45" s="72"/>
      <c r="G45" s="72"/>
      <c r="H45" s="72"/>
      <c r="I45" s="72"/>
      <c r="J45" s="72"/>
      <c r="K45" s="72"/>
      <c r="L45" s="72"/>
      <c r="M45" s="72"/>
      <c r="N45" s="72"/>
      <c r="O45" s="72"/>
      <c r="P45" s="72"/>
      <c r="Q45" s="72"/>
      <c r="R45" s="72"/>
      <c r="S45" s="72"/>
      <c r="T45" s="72"/>
      <c r="U45" s="72"/>
      <c r="V45" s="76"/>
      <c r="W45" s="74"/>
      <c r="X45" s="17"/>
    </row>
    <row r="46" spans="1:24" s="18" customFormat="1" thickBot="1">
      <c r="A46" s="13" t="s">
        <v>7</v>
      </c>
      <c r="B46" s="95">
        <v>8067740.0657275673</v>
      </c>
      <c r="C46" s="80" t="s">
        <v>1</v>
      </c>
      <c r="D46" s="80"/>
      <c r="E46" s="80"/>
      <c r="F46" s="80"/>
      <c r="G46" s="80"/>
      <c r="H46" s="80"/>
      <c r="I46" s="80"/>
      <c r="J46" s="80"/>
      <c r="K46" s="72"/>
      <c r="L46" s="72"/>
      <c r="M46" s="72"/>
      <c r="N46" s="72"/>
      <c r="O46" s="72"/>
      <c r="P46" s="72"/>
      <c r="Q46" s="72"/>
      <c r="R46" s="72"/>
      <c r="S46" s="72"/>
      <c r="T46" s="72"/>
      <c r="U46" s="72"/>
      <c r="V46" s="76"/>
      <c r="W46" s="74"/>
      <c r="X46" s="17"/>
    </row>
    <row r="47" spans="1:24" s="18" customFormat="1" thickBot="1">
      <c r="A47" s="51" t="s">
        <v>8</v>
      </c>
      <c r="B47" s="96">
        <v>0.39324023423237681</v>
      </c>
      <c r="C47" s="82" t="s">
        <v>24</v>
      </c>
      <c r="D47" s="82"/>
      <c r="E47" s="82"/>
      <c r="F47" s="82"/>
      <c r="G47" s="82"/>
      <c r="H47" s="82"/>
      <c r="I47" s="82"/>
      <c r="J47" s="82"/>
      <c r="K47" s="72"/>
      <c r="L47" s="72"/>
      <c r="M47" s="72"/>
      <c r="N47" s="72"/>
      <c r="O47" s="72"/>
      <c r="P47" s="72"/>
      <c r="Q47" s="72"/>
      <c r="R47" s="72"/>
      <c r="S47" s="72"/>
      <c r="T47" s="72"/>
      <c r="U47" s="72"/>
      <c r="V47" s="76"/>
      <c r="W47" s="74"/>
      <c r="X47" s="17"/>
    </row>
    <row r="48" spans="1:24" s="18" customFormat="1" thickBot="1">
      <c r="A48" s="83" t="s">
        <v>9</v>
      </c>
      <c r="B48" s="97">
        <v>0.1849722933389375</v>
      </c>
      <c r="C48" s="80" t="s">
        <v>24</v>
      </c>
      <c r="D48" s="80"/>
      <c r="E48" s="80"/>
      <c r="F48" s="80"/>
      <c r="G48" s="80"/>
      <c r="H48" s="80"/>
      <c r="I48" s="80"/>
      <c r="J48" s="80"/>
      <c r="K48" s="72"/>
      <c r="L48" s="72"/>
      <c r="M48" s="72"/>
      <c r="N48" s="72"/>
      <c r="O48" s="72"/>
      <c r="P48" s="72"/>
      <c r="Q48" s="72"/>
      <c r="R48" s="72"/>
      <c r="S48" s="72"/>
      <c r="T48" s="72"/>
      <c r="U48" s="72"/>
      <c r="V48" s="76"/>
      <c r="W48" s="74"/>
      <c r="X48" s="17"/>
    </row>
    <row r="51" spans="1:24" s="102" customFormat="1" ht="13.5" thickBot="1">
      <c r="B51" s="103" t="s">
        <v>26</v>
      </c>
      <c r="C51" s="104"/>
      <c r="D51" s="104"/>
      <c r="E51" s="104"/>
      <c r="F51" s="104"/>
      <c r="G51" s="104"/>
      <c r="H51" s="104"/>
      <c r="I51" s="104"/>
      <c r="J51" s="104"/>
      <c r="K51" s="104"/>
      <c r="L51" s="104"/>
      <c r="M51" s="104"/>
      <c r="N51" s="104"/>
      <c r="O51" s="104"/>
      <c r="P51" s="104"/>
      <c r="Q51" s="104"/>
      <c r="R51" s="104"/>
      <c r="S51" s="104"/>
      <c r="T51" s="104"/>
      <c r="U51" s="104"/>
      <c r="V51" s="105"/>
      <c r="W51" s="106"/>
      <c r="X51" s="107"/>
    </row>
    <row r="52" spans="1:24" s="102" customFormat="1" ht="12.75">
      <c r="B52" s="108" t="s">
        <v>27</v>
      </c>
      <c r="C52" s="109">
        <v>0</v>
      </c>
      <c r="D52" s="110">
        <v>1</v>
      </c>
      <c r="E52" s="110">
        <v>2</v>
      </c>
      <c r="F52" s="110">
        <v>3</v>
      </c>
      <c r="G52" s="110">
        <v>4</v>
      </c>
      <c r="H52" s="110">
        <v>5</v>
      </c>
      <c r="I52" s="110">
        <v>6</v>
      </c>
      <c r="J52" s="110">
        <v>7</v>
      </c>
      <c r="K52" s="110">
        <v>8</v>
      </c>
      <c r="L52" s="110">
        <v>9</v>
      </c>
      <c r="M52" s="110">
        <v>10</v>
      </c>
      <c r="N52" s="110">
        <v>11</v>
      </c>
      <c r="O52" s="110">
        <v>12</v>
      </c>
      <c r="P52" s="110">
        <v>13</v>
      </c>
      <c r="Q52" s="110">
        <v>14</v>
      </c>
      <c r="R52" s="110">
        <v>15</v>
      </c>
      <c r="S52" s="110">
        <v>16</v>
      </c>
      <c r="T52" s="110">
        <v>17</v>
      </c>
      <c r="U52" s="110">
        <v>18</v>
      </c>
      <c r="V52" s="110">
        <v>19</v>
      </c>
      <c r="W52" s="111">
        <v>20</v>
      </c>
      <c r="X52" s="107"/>
    </row>
    <row r="53" spans="1:24" s="102" customFormat="1" ht="12.75">
      <c r="B53" s="108" t="s">
        <v>28</v>
      </c>
      <c r="C53" s="112">
        <v>-872500.25</v>
      </c>
      <c r="D53" s="113"/>
      <c r="E53" s="113"/>
      <c r="F53" s="113"/>
      <c r="G53" s="113"/>
      <c r="H53" s="113"/>
      <c r="I53" s="113"/>
      <c r="J53" s="113"/>
      <c r="K53" s="113"/>
      <c r="L53" s="113"/>
      <c r="M53" s="113"/>
      <c r="N53" s="113"/>
      <c r="O53" s="113"/>
      <c r="P53" s="113"/>
      <c r="Q53" s="113"/>
      <c r="R53" s="113"/>
      <c r="S53" s="113"/>
      <c r="T53" s="113"/>
      <c r="U53" s="113"/>
      <c r="V53" s="113"/>
      <c r="W53" s="114"/>
      <c r="X53" s="107"/>
    </row>
    <row r="54" spans="1:24" s="102" customFormat="1" ht="12.75">
      <c r="B54" s="108" t="s">
        <v>29</v>
      </c>
      <c r="D54" s="115">
        <v>-759271.53005624982</v>
      </c>
      <c r="E54" s="115">
        <v>-786864.35046250001</v>
      </c>
      <c r="F54" s="115">
        <v>-311548.02676875051</v>
      </c>
      <c r="G54" s="115">
        <v>1012711.0401750002</v>
      </c>
      <c r="H54" s="115">
        <v>1265888.8002187507</v>
      </c>
      <c r="I54" s="115">
        <v>1265888.8002187507</v>
      </c>
      <c r="J54" s="115">
        <v>7961128.5311249997</v>
      </c>
      <c r="K54" s="115">
        <v>7961128.5311249997</v>
      </c>
      <c r="L54" s="115">
        <v>7961128.5311249997</v>
      </c>
      <c r="M54" s="115">
        <v>7961128.5311249997</v>
      </c>
      <c r="N54" s="115">
        <v>7961128.5311249997</v>
      </c>
      <c r="O54" s="115">
        <v>7961128.5311249997</v>
      </c>
      <c r="P54" s="115">
        <v>7961128.5311249997</v>
      </c>
      <c r="Q54" s="115">
        <v>7961128.5311249997</v>
      </c>
      <c r="R54" s="115">
        <v>7961128.5311249997</v>
      </c>
      <c r="S54" s="115">
        <v>7961128.5311249997</v>
      </c>
      <c r="T54" s="115">
        <v>7961128.5311249997</v>
      </c>
      <c r="U54" s="115">
        <v>7961128.5311249997</v>
      </c>
      <c r="V54" s="115">
        <v>7961128.5311249997</v>
      </c>
      <c r="W54" s="116">
        <v>7961128.5311249997</v>
      </c>
      <c r="X54" s="107"/>
    </row>
    <row r="55" spans="1:24" s="102" customFormat="1" ht="13.5" thickBot="1">
      <c r="B55" s="108" t="s">
        <v>30</v>
      </c>
      <c r="C55" s="117">
        <v>-872500.25</v>
      </c>
      <c r="D55" s="118">
        <v>-1631771.7800562498</v>
      </c>
      <c r="E55" s="118">
        <v>-2418636.1305187498</v>
      </c>
      <c r="F55" s="118">
        <v>-2730184.1572875003</v>
      </c>
      <c r="G55" s="118">
        <v>-1717473.1171125001</v>
      </c>
      <c r="H55" s="118">
        <v>-451584.3168937494</v>
      </c>
      <c r="I55" s="118">
        <v>814304.48332500132</v>
      </c>
      <c r="J55" s="118">
        <v>8775433.0144500006</v>
      </c>
      <c r="K55" s="118">
        <v>16736561.545575</v>
      </c>
      <c r="L55" s="118">
        <v>24697690.076700002</v>
      </c>
      <c r="M55" s="118">
        <v>32658818.607825004</v>
      </c>
      <c r="N55" s="118">
        <v>40619947.138950005</v>
      </c>
      <c r="O55" s="118">
        <v>48581075.670075007</v>
      </c>
      <c r="P55" s="118">
        <v>56542204.201200008</v>
      </c>
      <c r="Q55" s="118">
        <v>64503332.73232501</v>
      </c>
      <c r="R55" s="118">
        <v>72464461.263450012</v>
      </c>
      <c r="S55" s="118">
        <v>80425589.794575006</v>
      </c>
      <c r="T55" s="118">
        <v>88386718.3257</v>
      </c>
      <c r="U55" s="118">
        <v>96347846.856824994</v>
      </c>
      <c r="V55" s="118">
        <v>104308975.38794999</v>
      </c>
      <c r="W55" s="119">
        <v>112270103.91907498</v>
      </c>
      <c r="X55" s="107"/>
    </row>
    <row r="56" spans="1:24" s="128" customFormat="1" ht="14.25">
      <c r="A56" s="120"/>
      <c r="B56" s="121"/>
      <c r="C56" s="122"/>
      <c r="D56" s="123"/>
      <c r="E56" s="124"/>
      <c r="F56" s="124"/>
      <c r="G56" s="124"/>
      <c r="H56" s="124"/>
      <c r="I56" s="124"/>
      <c r="J56" s="124"/>
      <c r="K56" s="124"/>
      <c r="L56" s="124"/>
      <c r="M56" s="124"/>
      <c r="N56" s="124"/>
      <c r="O56" s="124"/>
      <c r="P56" s="124"/>
      <c r="Q56" s="124"/>
      <c r="R56" s="124"/>
      <c r="S56" s="124"/>
      <c r="T56" s="124"/>
      <c r="U56" s="124"/>
      <c r="V56" s="125"/>
      <c r="W56" s="126"/>
      <c r="X56" s="127"/>
    </row>
    <row r="57" spans="1:24" s="128" customFormat="1" thickBot="1">
      <c r="B57" s="129" t="s">
        <v>31</v>
      </c>
      <c r="C57" s="130">
        <v>5.897714943284563</v>
      </c>
      <c r="D57" s="127"/>
      <c r="V57" s="121"/>
      <c r="W57" s="126"/>
      <c r="X57" s="127"/>
    </row>
    <row r="58" spans="1:24" ht="15.75" thickBot="1">
      <c r="A58" s="431"/>
      <c r="B58" s="431"/>
      <c r="C58" s="431"/>
      <c r="D58" s="431"/>
      <c r="E58" s="431"/>
      <c r="F58" s="431"/>
      <c r="G58" s="431"/>
      <c r="H58" s="431"/>
      <c r="I58" s="431"/>
      <c r="J58" s="431"/>
      <c r="K58" s="431"/>
      <c r="L58" s="431"/>
      <c r="M58" s="431"/>
      <c r="N58" s="431"/>
      <c r="O58" s="431"/>
      <c r="P58" s="431"/>
      <c r="Q58" s="431"/>
      <c r="R58" s="431"/>
      <c r="S58" s="431"/>
      <c r="T58" s="431"/>
      <c r="U58" s="431"/>
      <c r="V58" s="432"/>
    </row>
    <row r="59" spans="1:24" s="102" customFormat="1" ht="12.75">
      <c r="A59" s="106"/>
      <c r="B59" s="143" t="s">
        <v>89</v>
      </c>
      <c r="C59" s="430"/>
      <c r="D59" s="368"/>
      <c r="E59" s="368"/>
      <c r="F59" s="368"/>
      <c r="G59" s="368"/>
      <c r="H59" s="368"/>
      <c r="I59" s="368"/>
      <c r="J59" s="368"/>
      <c r="K59" s="368"/>
      <c r="L59" s="368"/>
      <c r="M59" s="368"/>
      <c r="N59" s="368"/>
      <c r="O59" s="368"/>
      <c r="P59" s="368"/>
      <c r="Q59" s="368"/>
      <c r="R59" s="368"/>
      <c r="S59" s="368"/>
      <c r="T59" s="368"/>
      <c r="U59" s="368"/>
      <c r="V59" s="369"/>
      <c r="W59" s="370"/>
      <c r="X59" s="107"/>
    </row>
    <row r="60" spans="1:24" s="102" customFormat="1" ht="12.75">
      <c r="A60" s="106"/>
      <c r="B60" s="143" t="s">
        <v>90</v>
      </c>
      <c r="C60" s="379">
        <v>-759271.53005624982</v>
      </c>
      <c r="D60" s="373">
        <v>-786864.35046250001</v>
      </c>
      <c r="E60" s="373">
        <v>-311548.02676875051</v>
      </c>
      <c r="F60" s="373">
        <v>1012711.0401750002</v>
      </c>
      <c r="G60" s="373">
        <v>1265888.8002187507</v>
      </c>
      <c r="H60" s="373">
        <v>1265888.8002187507</v>
      </c>
      <c r="I60" s="373"/>
      <c r="J60" s="373"/>
      <c r="K60" s="373"/>
      <c r="L60" s="373"/>
      <c r="M60" s="373"/>
      <c r="N60" s="373"/>
      <c r="O60" s="373"/>
      <c r="P60" s="373"/>
      <c r="Q60" s="373"/>
      <c r="R60" s="373"/>
      <c r="S60" s="373"/>
      <c r="T60" s="373"/>
      <c r="U60" s="373"/>
      <c r="V60" s="373"/>
      <c r="W60" s="374"/>
      <c r="X60" s="107"/>
    </row>
    <row r="61" spans="1:24" s="102" customFormat="1" ht="12.75">
      <c r="A61" s="106"/>
      <c r="B61" s="143" t="s">
        <v>91</v>
      </c>
      <c r="C61" s="379">
        <v>174500.05</v>
      </c>
      <c r="D61" s="373">
        <v>174500.05</v>
      </c>
      <c r="E61" s="373">
        <v>174500.05</v>
      </c>
      <c r="F61" s="373">
        <v>174500.05</v>
      </c>
      <c r="G61" s="373">
        <v>174500.05</v>
      </c>
      <c r="H61" s="373">
        <v>0</v>
      </c>
      <c r="I61" s="373"/>
      <c r="V61" s="150"/>
      <c r="W61" s="376"/>
      <c r="X61" s="107"/>
    </row>
    <row r="62" spans="1:24" s="102" customFormat="1" ht="12.75">
      <c r="A62" s="106"/>
      <c r="B62" s="143" t="s">
        <v>92</v>
      </c>
      <c r="C62" s="379">
        <v>-64538.08005478124</v>
      </c>
      <c r="D62" s="373">
        <v>-66883.469789312512</v>
      </c>
      <c r="E62" s="373">
        <v>-26481.582275343797</v>
      </c>
      <c r="F62" s="373">
        <v>86080.438414875025</v>
      </c>
      <c r="G62" s="373">
        <v>107600.54801859382</v>
      </c>
      <c r="H62" s="373">
        <v>107600.54801859382</v>
      </c>
      <c r="W62" s="378"/>
      <c r="X62" s="107"/>
    </row>
    <row r="63" spans="1:24" s="102" customFormat="1" ht="12.75">
      <c r="A63" s="106"/>
      <c r="B63" s="143" t="s">
        <v>93</v>
      </c>
      <c r="C63" s="379">
        <v>109961.96994521875</v>
      </c>
      <c r="D63" s="373">
        <v>107616.58021068748</v>
      </c>
      <c r="E63" s="373">
        <v>148018.46772465619</v>
      </c>
      <c r="F63" s="373">
        <v>260580.488414875</v>
      </c>
      <c r="G63" s="373">
        <v>282100.5980185938</v>
      </c>
      <c r="H63" s="373">
        <v>107600.54801859382</v>
      </c>
      <c r="V63" s="150"/>
      <c r="W63" s="376"/>
      <c r="X63" s="107"/>
    </row>
    <row r="64" spans="1:24" s="102" customFormat="1" ht="12.75">
      <c r="A64" s="106"/>
      <c r="B64" s="381" t="s">
        <v>89</v>
      </c>
      <c r="C64" s="382">
        <v>-6.9048556554098335</v>
      </c>
      <c r="D64" s="383">
        <v>-7.3117390361411614</v>
      </c>
      <c r="E64" s="383">
        <v>-2.1047915949805116</v>
      </c>
      <c r="F64" s="383">
        <v>3.8863655768525702</v>
      </c>
      <c r="G64" s="383">
        <v>4.4873665958528512</v>
      </c>
      <c r="H64" s="383">
        <v>11.76470588235294</v>
      </c>
      <c r="I64" s="384">
        <v>11.76470588235294</v>
      </c>
      <c r="J64" s="384">
        <v>11.76470588235294</v>
      </c>
      <c r="K64" s="384">
        <v>11.76470588235294</v>
      </c>
      <c r="L64" s="384">
        <v>11.76470588235294</v>
      </c>
      <c r="M64" s="384">
        <v>11.76470588235294</v>
      </c>
      <c r="N64" s="384">
        <v>11.76470588235294</v>
      </c>
      <c r="O64" s="384">
        <v>11.76470588235294</v>
      </c>
      <c r="P64" s="384">
        <v>11.76470588235294</v>
      </c>
      <c r="Q64" s="384">
        <v>11.76470588235294</v>
      </c>
      <c r="R64" s="384">
        <v>11.76470588235294</v>
      </c>
      <c r="S64" s="384">
        <v>11.76470588235294</v>
      </c>
      <c r="T64" s="384">
        <v>11.76470588235294</v>
      </c>
      <c r="U64" s="384">
        <v>11.76470588235294</v>
      </c>
      <c r="V64" s="384">
        <v>11.76470588235294</v>
      </c>
      <c r="W64" s="385">
        <v>11.76470588235294</v>
      </c>
      <c r="X64" s="107"/>
    </row>
    <row r="65" spans="1:23">
      <c r="A65" s="106"/>
      <c r="B65" s="106"/>
      <c r="C65" s="386"/>
      <c r="D65" s="102"/>
      <c r="E65" s="102"/>
      <c r="F65" s="102"/>
      <c r="G65" s="102"/>
      <c r="H65" s="102"/>
      <c r="I65" s="102"/>
      <c r="J65" s="102"/>
      <c r="K65" s="102"/>
      <c r="L65" s="102"/>
      <c r="M65" s="102"/>
      <c r="N65" s="102"/>
      <c r="O65" s="102"/>
      <c r="P65" s="102"/>
      <c r="Q65" s="102"/>
      <c r="R65" s="102"/>
      <c r="S65" s="102"/>
      <c r="T65" s="102"/>
      <c r="U65" s="102"/>
      <c r="V65" s="150"/>
      <c r="W65" s="376"/>
    </row>
    <row r="66" spans="1:23" ht="15.75" thickBot="1">
      <c r="A66" s="106"/>
      <c r="B66" s="381" t="s">
        <v>94</v>
      </c>
      <c r="C66" s="387">
        <v>8.5851257144676616</v>
      </c>
      <c r="D66" s="388"/>
      <c r="E66" s="388"/>
      <c r="F66" s="388"/>
      <c r="G66" s="388"/>
      <c r="H66" s="388"/>
      <c r="I66" s="388"/>
      <c r="J66" s="388"/>
      <c r="K66" s="388"/>
      <c r="L66" s="388"/>
      <c r="M66" s="388"/>
      <c r="N66" s="388"/>
      <c r="O66" s="388"/>
      <c r="P66" s="388"/>
      <c r="Q66" s="388"/>
      <c r="R66" s="388"/>
      <c r="S66" s="388"/>
      <c r="T66" s="388"/>
      <c r="U66" s="388"/>
      <c r="V66" s="389"/>
      <c r="W66" s="390"/>
    </row>
    <row r="67" spans="1:23">
      <c r="A67" s="179"/>
      <c r="B67" s="179"/>
      <c r="C67" s="179"/>
      <c r="D67" s="179"/>
      <c r="E67" s="179"/>
      <c r="F67" s="179"/>
      <c r="G67" s="179"/>
      <c r="H67" s="179"/>
      <c r="I67" s="179"/>
      <c r="J67" s="179"/>
      <c r="K67" s="179"/>
      <c r="L67" s="179"/>
      <c r="M67" s="179"/>
      <c r="N67" s="179"/>
      <c r="O67" s="179"/>
      <c r="P67" s="179"/>
      <c r="Q67" s="179"/>
      <c r="R67" s="179"/>
      <c r="S67" s="179"/>
      <c r="T67" s="179"/>
      <c r="U67" s="179"/>
      <c r="V67" s="433"/>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dimension ref="A1:X57"/>
  <sheetViews>
    <sheetView showGridLines="0" zoomScale="70" zoomScaleNormal="70" workbookViewId="0">
      <selection sqref="A1:XFD1048576"/>
    </sheetView>
  </sheetViews>
  <sheetFormatPr defaultColWidth="9" defaultRowHeight="15"/>
  <cols>
    <col min="1" max="1" width="76.140625" style="98" customWidth="1"/>
    <col min="2" max="2" width="13.5703125" style="98" customWidth="1"/>
    <col min="3" max="4" width="16.7109375" style="98" bestFit="1" customWidth="1"/>
    <col min="5" max="6" width="15.85546875" style="98" bestFit="1" customWidth="1"/>
    <col min="7" max="21" width="17.28515625" style="98" customWidth="1"/>
    <col min="22" max="22" width="17.28515625" style="99" customWidth="1"/>
    <col min="23" max="23" width="17.28515625" style="100" customWidth="1"/>
    <col min="24" max="24" width="9" style="101"/>
    <col min="25" max="16384" width="9" style="98"/>
  </cols>
  <sheetData>
    <row r="1" spans="1:24" s="18" customFormat="1" ht="15.75" thickBot="1">
      <c r="A1" s="994" t="s">
        <v>32</v>
      </c>
      <c r="B1" s="995"/>
      <c r="C1" s="995"/>
      <c r="D1" s="995"/>
      <c r="E1" s="995"/>
      <c r="F1" s="995"/>
      <c r="G1" s="995"/>
      <c r="H1" s="995"/>
      <c r="I1" s="995"/>
      <c r="J1" s="995"/>
      <c r="K1" s="995"/>
      <c r="L1" s="995"/>
      <c r="M1" s="995"/>
      <c r="N1" s="995"/>
      <c r="O1" s="995"/>
      <c r="P1" s="995"/>
      <c r="Q1" s="995"/>
      <c r="R1" s="995"/>
      <c r="S1" s="995"/>
      <c r="T1" s="995"/>
      <c r="U1" s="995"/>
      <c r="V1" s="995"/>
      <c r="W1" s="996"/>
      <c r="X1" s="17"/>
    </row>
    <row r="2" spans="1:24" s="18" customFormat="1" ht="14.25">
      <c r="A2" s="19"/>
      <c r="B2" s="20" t="s">
        <v>12</v>
      </c>
      <c r="C2" s="20"/>
      <c r="D2" s="20"/>
      <c r="E2" s="20"/>
      <c r="F2" s="20"/>
      <c r="G2" s="20"/>
      <c r="H2" s="20"/>
      <c r="I2" s="20"/>
      <c r="J2" s="20"/>
      <c r="K2" s="20"/>
      <c r="L2" s="20"/>
      <c r="M2" s="20"/>
      <c r="N2" s="20"/>
      <c r="O2" s="20"/>
      <c r="P2" s="20"/>
      <c r="Q2" s="20"/>
      <c r="R2" s="20"/>
      <c r="S2" s="20"/>
      <c r="T2" s="20"/>
      <c r="U2" s="20"/>
      <c r="V2" s="21"/>
      <c r="W2" s="22"/>
      <c r="X2" s="17"/>
    </row>
    <row r="3" spans="1:24" s="18" customFormat="1" ht="14.25">
      <c r="A3" s="23"/>
      <c r="B3" s="24"/>
      <c r="C3" s="25">
        <v>2023</v>
      </c>
      <c r="D3" s="25">
        <v>2024</v>
      </c>
      <c r="E3" s="25">
        <v>2025</v>
      </c>
      <c r="F3" s="25">
        <v>2026</v>
      </c>
      <c r="G3" s="25">
        <v>2027</v>
      </c>
      <c r="H3" s="25">
        <v>2028</v>
      </c>
      <c r="I3" s="25">
        <v>2029</v>
      </c>
      <c r="J3" s="25">
        <v>2030</v>
      </c>
      <c r="K3" s="25">
        <v>2031</v>
      </c>
      <c r="L3" s="25">
        <v>2032</v>
      </c>
      <c r="M3" s="25">
        <v>2033</v>
      </c>
      <c r="N3" s="25">
        <v>2034</v>
      </c>
      <c r="O3" s="25">
        <v>2035</v>
      </c>
      <c r="P3" s="25">
        <v>2036</v>
      </c>
      <c r="Q3" s="25">
        <v>2037</v>
      </c>
      <c r="R3" s="25">
        <v>2038</v>
      </c>
      <c r="S3" s="25">
        <v>2039</v>
      </c>
      <c r="T3" s="25">
        <v>2040</v>
      </c>
      <c r="U3" s="25">
        <v>2041</v>
      </c>
      <c r="V3" s="26">
        <v>2042</v>
      </c>
      <c r="W3" s="27"/>
      <c r="X3" s="17"/>
    </row>
    <row r="4" spans="1:24" s="18" customFormat="1" ht="14.25">
      <c r="A4" s="28" t="s">
        <v>44</v>
      </c>
      <c r="B4" s="29"/>
      <c r="C4" s="30"/>
      <c r="D4" s="30"/>
      <c r="E4" s="30"/>
      <c r="F4" s="30"/>
      <c r="G4" s="30"/>
      <c r="H4" s="30"/>
      <c r="I4" s="30"/>
      <c r="J4" s="31"/>
      <c r="K4" s="32"/>
      <c r="L4" s="32"/>
      <c r="M4" s="32"/>
      <c r="N4" s="32"/>
      <c r="O4" s="32"/>
      <c r="P4" s="32"/>
      <c r="Q4" s="32"/>
      <c r="R4" s="32"/>
      <c r="S4" s="32"/>
      <c r="T4" s="32"/>
      <c r="U4" s="32"/>
      <c r="V4" s="33"/>
      <c r="W4" s="34"/>
      <c r="X4" s="17"/>
    </row>
    <row r="5" spans="1:24" s="18" customFormat="1" ht="14.25">
      <c r="A5" s="28" t="s">
        <v>13</v>
      </c>
      <c r="B5" s="35" t="s">
        <v>1</v>
      </c>
      <c r="C5" s="36">
        <f>'[25]Incremental Fin. and Econ V'!E113</f>
        <v>565422.2608695653</v>
      </c>
      <c r="D5" s="36">
        <f>'[25]Incremental Fin. and Econ V'!F113</f>
        <v>2045144.3478260871</v>
      </c>
      <c r="E5" s="36">
        <f>'[25]Incremental Fin. and Econ V'!G113</f>
        <v>3067716.5217391308</v>
      </c>
      <c r="F5" s="36">
        <f>'[25]Incremental Fin. and Econ V'!H113</f>
        <v>5918888.3478260869</v>
      </c>
      <c r="G5" s="36">
        <f>'[25]Incremental Fin. and Econ V'!I113</f>
        <v>7398610.4347826093</v>
      </c>
      <c r="H5" s="36">
        <f>'[25]Incremental Fin. and Econ V'!J113</f>
        <v>7398610.4347826093</v>
      </c>
      <c r="I5" s="36">
        <f>'[25]Incremental Fin. and Econ V'!K113</f>
        <v>7398610.4347826093</v>
      </c>
      <c r="J5" s="36">
        <f>'[25]Incremental Fin. and Econ V'!L113</f>
        <v>7398610.4347826093</v>
      </c>
      <c r="K5" s="36">
        <f>'[25]Incremental Fin. and Econ V'!M113</f>
        <v>7398610.4347826093</v>
      </c>
      <c r="L5" s="36">
        <f>'[25]Incremental Fin. and Econ V'!N113</f>
        <v>7398610.4347826093</v>
      </c>
      <c r="M5" s="36">
        <f>'[25]Incremental Fin. and Econ V'!O113</f>
        <v>7398610.4347826093</v>
      </c>
      <c r="N5" s="36">
        <f>'[25]Incremental Fin. and Econ V'!P113</f>
        <v>7398610.4347826093</v>
      </c>
      <c r="O5" s="36">
        <f>'[25]Incremental Fin. and Econ V'!Q113</f>
        <v>7398610.4347826093</v>
      </c>
      <c r="P5" s="36">
        <f>'[25]Incremental Fin. and Econ V'!R113</f>
        <v>7398610.4347826093</v>
      </c>
      <c r="Q5" s="36">
        <f>'[25]Incremental Fin. and Econ V'!S113</f>
        <v>7398610.4347826093</v>
      </c>
      <c r="R5" s="36">
        <f>'[25]Incremental Fin. and Econ V'!T113</f>
        <v>7398610.4347826093</v>
      </c>
      <c r="S5" s="36">
        <f>'[25]Incremental Fin. and Econ V'!U113</f>
        <v>7398610.4347826093</v>
      </c>
      <c r="T5" s="36">
        <f>'[25]Incremental Fin. and Econ V'!V113</f>
        <v>7398610.4347826093</v>
      </c>
      <c r="U5" s="36">
        <f>'[25]Incremental Fin. and Econ V'!W113</f>
        <v>7398610.4347826093</v>
      </c>
      <c r="V5" s="37">
        <f>'[25]Incremental Fin. and Econ V'!X113</f>
        <v>7398610.4347826093</v>
      </c>
      <c r="W5" s="5"/>
      <c r="X5" s="17"/>
    </row>
    <row r="6" spans="1:24" s="18" customFormat="1" ht="14.25">
      <c r="A6" s="38" t="s">
        <v>14</v>
      </c>
      <c r="B6" s="35" t="s">
        <v>1</v>
      </c>
      <c r="C6" s="36">
        <f>'[25]Incremental Fin. and Econ M'!E115</f>
        <v>126945.69230769233</v>
      </c>
      <c r="D6" s="36">
        <f>'[25]Incremental Fin. and Econ M'!F115</f>
        <v>398320.61538461543</v>
      </c>
      <c r="E6" s="36">
        <f>'[25]Incremental Fin. and Econ M'!G115</f>
        <v>1680700.153846154</v>
      </c>
      <c r="F6" s="36">
        <f>'[25]Incremental Fin. and Econ M'!H115</f>
        <v>2818650.461538462</v>
      </c>
      <c r="G6" s="36">
        <f>'[25]Incremental Fin. and Econ M'!I115</f>
        <v>3523313.0769230775</v>
      </c>
      <c r="H6" s="36">
        <f>'[25]Incremental Fin. and Econ M'!J115</f>
        <v>3523313.0769230775</v>
      </c>
      <c r="I6" s="36">
        <f>'[25]Incremental Fin. and Econ M'!K115</f>
        <v>3523313.0769230775</v>
      </c>
      <c r="J6" s="36">
        <f>'[25]Incremental Fin. and Econ M'!L115</f>
        <v>3523313.0769230775</v>
      </c>
      <c r="K6" s="36">
        <f>'[25]Incremental Fin. and Econ M'!M115</f>
        <v>3523313.0769230775</v>
      </c>
      <c r="L6" s="36">
        <f>'[25]Incremental Fin. and Econ M'!N115</f>
        <v>3523313.0769230775</v>
      </c>
      <c r="M6" s="36">
        <f>'[25]Incremental Fin. and Econ M'!O115</f>
        <v>3523313.0769230775</v>
      </c>
      <c r="N6" s="36">
        <f>'[25]Incremental Fin. and Econ M'!P115</f>
        <v>3523313.0769230775</v>
      </c>
      <c r="O6" s="36">
        <f>'[25]Incremental Fin. and Econ M'!Q115</f>
        <v>3523313.0769230775</v>
      </c>
      <c r="P6" s="36">
        <f>'[25]Incremental Fin. and Econ M'!R115</f>
        <v>3523313.0769230775</v>
      </c>
      <c r="Q6" s="36">
        <f>'[25]Incremental Fin. and Econ M'!S115</f>
        <v>3523313.0769230775</v>
      </c>
      <c r="R6" s="36">
        <f>'[25]Incremental Fin. and Econ M'!T115</f>
        <v>3523313.0769230775</v>
      </c>
      <c r="S6" s="36">
        <f>'[25]Incremental Fin. and Econ M'!U115</f>
        <v>3523313.0769230775</v>
      </c>
      <c r="T6" s="36">
        <f>'[25]Incremental Fin. and Econ M'!V115</f>
        <v>3523313.0769230775</v>
      </c>
      <c r="U6" s="36">
        <f>'[25]Incremental Fin. and Econ M'!W115</f>
        <v>3523313.0769230775</v>
      </c>
      <c r="V6" s="37">
        <f>'[25]Incremental Fin. and Econ M'!X115</f>
        <v>3523313.0769230775</v>
      </c>
      <c r="W6" s="5"/>
      <c r="X6" s="17"/>
    </row>
    <row r="7" spans="1:24" s="18" customFormat="1" ht="14.25">
      <c r="A7" s="38" t="s">
        <v>15</v>
      </c>
      <c r="B7" s="35" t="s">
        <v>1</v>
      </c>
      <c r="C7" s="36">
        <f>'[25]Incremental Fin. and Econ R'!E113</f>
        <v>201233.45454545456</v>
      </c>
      <c r="D7" s="36">
        <f>'[25]Incremental Fin. and Econ R'!F113</f>
        <v>948672</v>
      </c>
      <c r="E7" s="36">
        <f>'[25]Incremental Fin. and Econ R'!G113</f>
        <v>1832661.8181818184</v>
      </c>
      <c r="F7" s="36">
        <f>'[25]Incremental Fin. and Econ R'!H113</f>
        <v>4082164.3636363638</v>
      </c>
      <c r="G7" s="36">
        <f>'[25]Incremental Fin. and Econ R'!I113</f>
        <v>5102705.4545454551</v>
      </c>
      <c r="H7" s="36">
        <f>'[25]Incremental Fin. and Econ R'!J113</f>
        <v>5102705.4545454551</v>
      </c>
      <c r="I7" s="36">
        <f>'[25]Incremental Fin. and Econ R'!K113</f>
        <v>5102705.4545454551</v>
      </c>
      <c r="J7" s="36">
        <f>'[25]Incremental Fin. and Econ R'!L113</f>
        <v>5102705.4545454551</v>
      </c>
      <c r="K7" s="36">
        <f>'[25]Incremental Fin. and Econ R'!M113</f>
        <v>5102705.4545454551</v>
      </c>
      <c r="L7" s="36">
        <f>'[25]Incremental Fin. and Econ R'!N113</f>
        <v>5102705.4545454551</v>
      </c>
      <c r="M7" s="36">
        <f>'[25]Incremental Fin. and Econ R'!O113</f>
        <v>5102705.4545454551</v>
      </c>
      <c r="N7" s="36">
        <f>'[25]Incremental Fin. and Econ R'!P113</f>
        <v>5102705.4545454551</v>
      </c>
      <c r="O7" s="36">
        <f>'[25]Incremental Fin. and Econ R'!Q113</f>
        <v>5102705.4545454551</v>
      </c>
      <c r="P7" s="36">
        <f>'[25]Incremental Fin. and Econ R'!R113</f>
        <v>5102705.4545454551</v>
      </c>
      <c r="Q7" s="36">
        <f>'[25]Incremental Fin. and Econ R'!S113</f>
        <v>5102705.4545454551</v>
      </c>
      <c r="R7" s="36">
        <f>'[25]Incremental Fin. and Econ R'!T113</f>
        <v>5102705.4545454551</v>
      </c>
      <c r="S7" s="36">
        <f>'[25]Incremental Fin. and Econ R'!U113</f>
        <v>5102705.4545454551</v>
      </c>
      <c r="T7" s="36">
        <f>'[25]Incremental Fin. and Econ R'!V113</f>
        <v>5102705.4545454551</v>
      </c>
      <c r="U7" s="36">
        <f>'[25]Incremental Fin. and Econ R'!W113</f>
        <v>5102705.4545454551</v>
      </c>
      <c r="V7" s="37">
        <f>'[25]Incremental Fin. and Econ R'!X113</f>
        <v>5102705.4545454551</v>
      </c>
      <c r="W7" s="5"/>
      <c r="X7" s="17"/>
    </row>
    <row r="8" spans="1:24" s="18" customFormat="1" ht="14.25">
      <c r="A8" s="538" t="s">
        <v>16</v>
      </c>
      <c r="B8" s="539" t="s">
        <v>1</v>
      </c>
      <c r="C8" s="36">
        <f>'[25]Incremental Fin. and Econ O'!E113</f>
        <v>145949.53846153847</v>
      </c>
      <c r="D8" s="36">
        <f>'[25]Incremental Fin. and Econ O'!F113</f>
        <v>1447332.9230769232</v>
      </c>
      <c r="E8" s="36">
        <f>'[25]Incremental Fin. and Econ O'!G113</f>
        <v>3037574.7692307699</v>
      </c>
      <c r="F8" s="36">
        <f>'[25]Incremental Fin. and Econ O'!H113</f>
        <v>5205533.538461539</v>
      </c>
      <c r="G8" s="36">
        <f>'[25]Incremental Fin. and Econ O'!I113</f>
        <v>6506916.9230769239</v>
      </c>
      <c r="H8" s="36">
        <f>'[25]Incremental Fin. and Econ O'!J113</f>
        <v>6506916.9230769239</v>
      </c>
      <c r="I8" s="36">
        <f>'[25]Incremental Fin. and Econ O'!K113</f>
        <v>6506916.9230769239</v>
      </c>
      <c r="J8" s="36">
        <f>'[25]Incremental Fin. and Econ O'!L113</f>
        <v>6506916.9230769239</v>
      </c>
      <c r="K8" s="36">
        <f>'[25]Incremental Fin. and Econ O'!M113</f>
        <v>6506916.9230769239</v>
      </c>
      <c r="L8" s="36">
        <f>'[25]Incremental Fin. and Econ O'!N113</f>
        <v>6506916.9230769239</v>
      </c>
      <c r="M8" s="36">
        <f>'[25]Incremental Fin. and Econ O'!O113</f>
        <v>6506916.9230769239</v>
      </c>
      <c r="N8" s="36">
        <f>'[25]Incremental Fin. and Econ O'!P113</f>
        <v>6506916.9230769239</v>
      </c>
      <c r="O8" s="36">
        <f>'[25]Incremental Fin. and Econ O'!Q113</f>
        <v>6506916.9230769239</v>
      </c>
      <c r="P8" s="36">
        <f>'[25]Incremental Fin. and Econ O'!R113</f>
        <v>6506916.9230769239</v>
      </c>
      <c r="Q8" s="36">
        <f>'[25]Incremental Fin. and Econ O'!S113</f>
        <v>6506916.9230769239</v>
      </c>
      <c r="R8" s="36">
        <f>'[25]Incremental Fin. and Econ O'!T113</f>
        <v>6506916.9230769239</v>
      </c>
      <c r="S8" s="36">
        <f>'[25]Incremental Fin. and Econ O'!U113</f>
        <v>6506916.9230769239</v>
      </c>
      <c r="T8" s="36">
        <f>'[25]Incremental Fin. and Econ O'!V113</f>
        <v>6506916.9230769239</v>
      </c>
      <c r="U8" s="36">
        <f>'[25]Incremental Fin. and Econ O'!W113</f>
        <v>6506916.9230769239</v>
      </c>
      <c r="V8" s="37">
        <f>'[25]Incremental Fin. and Econ O'!X113</f>
        <v>6506916.9230769239</v>
      </c>
      <c r="W8" s="5"/>
      <c r="X8" s="17"/>
    </row>
    <row r="9" spans="1:24" s="18" customFormat="1" ht="14.25">
      <c r="A9" s="538" t="s">
        <v>17</v>
      </c>
      <c r="B9" s="539" t="s">
        <v>1</v>
      </c>
      <c r="C9" s="36">
        <f>'[25]Incremental Fin. and Econ C'!E113</f>
        <v>1545772.8461538462</v>
      </c>
      <c r="D9" s="36">
        <f>'[25]Incremental Fin. and Econ C'!F113</f>
        <v>3650258.7692307686</v>
      </c>
      <c r="E9" s="36">
        <f>'[25]Incremental Fin. and Econ C'!G113</f>
        <v>6313457.7692307681</v>
      </c>
      <c r="F9" s="36">
        <f>'[25]Incremental Fin. and Econ C'!H113</f>
        <v>10652796.000000002</v>
      </c>
      <c r="G9" s="36">
        <f>'[25]Incremental Fin. and Econ C'!I113</f>
        <v>13315995.000000002</v>
      </c>
      <c r="H9" s="36">
        <f>'[25]Incremental Fin. and Econ C'!J113</f>
        <v>13315995.000000002</v>
      </c>
      <c r="I9" s="36">
        <f>'[25]Incremental Fin. and Econ C'!K113</f>
        <v>13315995.000000002</v>
      </c>
      <c r="J9" s="36">
        <f>'[25]Incremental Fin. and Econ C'!L113</f>
        <v>13315995.000000002</v>
      </c>
      <c r="K9" s="36">
        <f>'[25]Incremental Fin. and Econ C'!M113</f>
        <v>13315995.000000002</v>
      </c>
      <c r="L9" s="36">
        <f>'[25]Incremental Fin. and Econ C'!N113</f>
        <v>13315995.000000002</v>
      </c>
      <c r="M9" s="36">
        <f>'[25]Incremental Fin. and Econ C'!O113</f>
        <v>13315995.000000002</v>
      </c>
      <c r="N9" s="36">
        <f>'[25]Incremental Fin. and Econ C'!P113</f>
        <v>13315995.000000002</v>
      </c>
      <c r="O9" s="36">
        <f>'[25]Incremental Fin. and Econ C'!Q113</f>
        <v>13315995.000000002</v>
      </c>
      <c r="P9" s="36">
        <f>'[25]Incremental Fin. and Econ C'!R113</f>
        <v>13315995.000000002</v>
      </c>
      <c r="Q9" s="36">
        <f>'[25]Incremental Fin. and Econ C'!S113</f>
        <v>13315995.000000002</v>
      </c>
      <c r="R9" s="36">
        <f>'[25]Incremental Fin. and Econ C'!T113</f>
        <v>13315995.000000002</v>
      </c>
      <c r="S9" s="36">
        <f>'[25]Incremental Fin. and Econ C'!U113</f>
        <v>13315995.000000002</v>
      </c>
      <c r="T9" s="36">
        <f>'[25]Incremental Fin. and Econ C'!V113</f>
        <v>13315995.000000002</v>
      </c>
      <c r="U9" s="36">
        <f>'[25]Incremental Fin. and Econ C'!W113</f>
        <v>13315995.000000002</v>
      </c>
      <c r="V9" s="37">
        <f>'[25]Incremental Fin. and Econ C'!X113</f>
        <v>13315995.000000002</v>
      </c>
      <c r="W9" s="5"/>
      <c r="X9" s="17"/>
    </row>
    <row r="10" spans="1:24" s="18" customFormat="1" ht="14.25">
      <c r="A10" s="151" t="s">
        <v>45</v>
      </c>
      <c r="B10" s="54" t="str">
        <f>B9</f>
        <v>USD</v>
      </c>
      <c r="C10" s="36">
        <f>[25]Calculations!$C$7*[25]Calculations!B16</f>
        <v>14126.400000000001</v>
      </c>
      <c r="D10" s="36">
        <f>[25]Calculations!$C$7*[25]Calculations!C16</f>
        <v>28252.800000000003</v>
      </c>
      <c r="E10" s="36">
        <f>[25]Calculations!$C$7*[25]Calculations!D16</f>
        <v>42379.200000000004</v>
      </c>
      <c r="F10" s="36">
        <f>[25]Calculations!$C$7*[25]Calculations!E16</f>
        <v>56505.600000000006</v>
      </c>
      <c r="G10" s="36">
        <f>[25]Calculations!$C$7*[25]Calculations!F16</f>
        <v>70632</v>
      </c>
      <c r="H10" s="36">
        <f>[25]Calculations!$C$7*[25]Calculations!G16</f>
        <v>70632</v>
      </c>
      <c r="I10" s="36">
        <f>H10</f>
        <v>70632</v>
      </c>
      <c r="J10" s="36">
        <f t="shared" ref="J10:V10" si="0">I10</f>
        <v>70632</v>
      </c>
      <c r="K10" s="36">
        <f t="shared" si="0"/>
        <v>70632</v>
      </c>
      <c r="L10" s="36">
        <f t="shared" si="0"/>
        <v>70632</v>
      </c>
      <c r="M10" s="36">
        <f t="shared" si="0"/>
        <v>70632</v>
      </c>
      <c r="N10" s="36">
        <f t="shared" si="0"/>
        <v>70632</v>
      </c>
      <c r="O10" s="36">
        <f t="shared" si="0"/>
        <v>70632</v>
      </c>
      <c r="P10" s="36">
        <f t="shared" si="0"/>
        <v>70632</v>
      </c>
      <c r="Q10" s="36">
        <f t="shared" si="0"/>
        <v>70632</v>
      </c>
      <c r="R10" s="36">
        <f t="shared" si="0"/>
        <v>70632</v>
      </c>
      <c r="S10" s="36">
        <f t="shared" si="0"/>
        <v>70632</v>
      </c>
      <c r="T10" s="36">
        <f t="shared" si="0"/>
        <v>70632</v>
      </c>
      <c r="U10" s="36">
        <f t="shared" si="0"/>
        <v>70632</v>
      </c>
      <c r="V10" s="37">
        <f t="shared" si="0"/>
        <v>70632</v>
      </c>
      <c r="W10" s="5"/>
      <c r="X10" s="17"/>
    </row>
    <row r="11" spans="1:24" s="48" customFormat="1" ht="14.25">
      <c r="A11" s="53" t="s">
        <v>19</v>
      </c>
      <c r="B11" s="54" t="str">
        <f>B10</f>
        <v>USD</v>
      </c>
      <c r="C11" s="45">
        <f>SUM(C5:C10)</f>
        <v>2599450.1923380969</v>
      </c>
      <c r="D11" s="45">
        <f t="shared" ref="D11:V11" si="1">SUM(D5:D10)</f>
        <v>8517981.4555183947</v>
      </c>
      <c r="E11" s="45">
        <f t="shared" si="1"/>
        <v>15974490.23222864</v>
      </c>
      <c r="F11" s="45">
        <f t="shared" si="1"/>
        <v>28734538.311462454</v>
      </c>
      <c r="G11" s="45">
        <f t="shared" si="1"/>
        <v>35918172.88932807</v>
      </c>
      <c r="H11" s="45">
        <f t="shared" si="1"/>
        <v>35918172.88932807</v>
      </c>
      <c r="I11" s="45">
        <f t="shared" si="1"/>
        <v>35918172.88932807</v>
      </c>
      <c r="J11" s="45">
        <f t="shared" si="1"/>
        <v>35918172.88932807</v>
      </c>
      <c r="K11" s="45">
        <f t="shared" si="1"/>
        <v>35918172.88932807</v>
      </c>
      <c r="L11" s="45">
        <f t="shared" si="1"/>
        <v>35918172.88932807</v>
      </c>
      <c r="M11" s="45">
        <f t="shared" si="1"/>
        <v>35918172.88932807</v>
      </c>
      <c r="N11" s="45">
        <f t="shared" si="1"/>
        <v>35918172.88932807</v>
      </c>
      <c r="O11" s="45">
        <f t="shared" si="1"/>
        <v>35918172.88932807</v>
      </c>
      <c r="P11" s="45">
        <f t="shared" si="1"/>
        <v>35918172.88932807</v>
      </c>
      <c r="Q11" s="45">
        <f t="shared" si="1"/>
        <v>35918172.88932807</v>
      </c>
      <c r="R11" s="45">
        <f t="shared" si="1"/>
        <v>35918172.88932807</v>
      </c>
      <c r="S11" s="45">
        <f t="shared" si="1"/>
        <v>35918172.88932807</v>
      </c>
      <c r="T11" s="45">
        <f t="shared" si="1"/>
        <v>35918172.88932807</v>
      </c>
      <c r="U11" s="45">
        <f t="shared" si="1"/>
        <v>35918172.88932807</v>
      </c>
      <c r="V11" s="46">
        <f t="shared" si="1"/>
        <v>35918172.88932807</v>
      </c>
      <c r="W11" s="14"/>
      <c r="X11" s="47"/>
    </row>
    <row r="12" spans="1:24" s="18" customFormat="1" ht="14.25">
      <c r="A12" s="49" t="s">
        <v>3</v>
      </c>
      <c r="B12" s="144"/>
      <c r="C12" s="36"/>
      <c r="D12" s="36"/>
      <c r="E12" s="36"/>
      <c r="F12" s="36"/>
      <c r="G12" s="36"/>
      <c r="H12" s="36"/>
      <c r="I12" s="36"/>
      <c r="J12" s="36"/>
      <c r="K12" s="36"/>
      <c r="L12" s="36"/>
      <c r="M12" s="36"/>
      <c r="N12" s="36"/>
      <c r="O12" s="36"/>
      <c r="P12" s="36"/>
      <c r="Q12" s="36"/>
      <c r="R12" s="36"/>
      <c r="S12" s="36"/>
      <c r="T12" s="36"/>
      <c r="U12" s="36"/>
      <c r="V12" s="37"/>
      <c r="W12" s="5"/>
      <c r="X12" s="17"/>
    </row>
    <row r="13" spans="1:24" s="18" customFormat="1" ht="14.25">
      <c r="A13" s="540" t="s">
        <v>20</v>
      </c>
      <c r="B13" s="54" t="str">
        <f>B14</f>
        <v>USD</v>
      </c>
      <c r="C13" s="36">
        <f>[25]Calculations!B13</f>
        <v>856723.09586009721</v>
      </c>
      <c r="D13" s="36">
        <f>C13</f>
        <v>856723.09586009721</v>
      </c>
      <c r="E13" s="36">
        <f>D13</f>
        <v>856723.09586009721</v>
      </c>
      <c r="F13" s="36">
        <f>E13</f>
        <v>856723.09586009721</v>
      </c>
      <c r="G13" s="36">
        <f>F13</f>
        <v>856723.09586009721</v>
      </c>
      <c r="H13" s="36"/>
      <c r="I13" s="36"/>
      <c r="J13" s="36"/>
      <c r="K13" s="36"/>
      <c r="L13" s="36"/>
      <c r="M13" s="36"/>
      <c r="N13" s="36"/>
      <c r="O13" s="36"/>
      <c r="P13" s="36"/>
      <c r="Q13" s="36"/>
      <c r="R13" s="36"/>
      <c r="S13" s="36"/>
      <c r="T13" s="36"/>
      <c r="U13" s="36"/>
      <c r="V13" s="37"/>
      <c r="W13" s="5"/>
      <c r="X13" s="17"/>
    </row>
    <row r="14" spans="1:24" s="18" customFormat="1" ht="14.25">
      <c r="A14" s="541" t="s">
        <v>13</v>
      </c>
      <c r="B14" s="35" t="s">
        <v>1</v>
      </c>
      <c r="C14" s="36">
        <f>'[25]Incremental Fin. and Econ V'!E122</f>
        <v>1146103.6004423571</v>
      </c>
      <c r="D14" s="36">
        <f>'[25]Incremental Fin. and Econ V'!F122</f>
        <v>2292207.2008847143</v>
      </c>
      <c r="E14" s="36">
        <f>'[25]Incremental Fin. and Econ V'!G122</f>
        <v>3438310.8013270716</v>
      </c>
      <c r="F14" s="36">
        <f>'[25]Incremental Fin. and Econ V'!H122</f>
        <v>4584414.4017694285</v>
      </c>
      <c r="G14" s="36">
        <f>'[25]Incremental Fin. and Econ V'!I122</f>
        <v>5730518.0022117868</v>
      </c>
      <c r="H14" s="36">
        <f>'[25]Incremental Fin. and Econ V'!J122</f>
        <v>5730518.0022117868</v>
      </c>
      <c r="I14" s="36">
        <f>'[25]Incremental Fin. and Econ V'!K122</f>
        <v>5730518.0022117868</v>
      </c>
      <c r="J14" s="36">
        <f>'[25]Incremental Fin. and Econ V'!L122</f>
        <v>5730518.0022117868</v>
      </c>
      <c r="K14" s="36">
        <f>'[25]Incremental Fin. and Econ V'!M122</f>
        <v>5730518.0022117868</v>
      </c>
      <c r="L14" s="36">
        <f>'[25]Incremental Fin. and Econ V'!N122</f>
        <v>5730518.0022117868</v>
      </c>
      <c r="M14" s="36">
        <f>'[25]Incremental Fin. and Econ V'!O122</f>
        <v>5730518.0022117868</v>
      </c>
      <c r="N14" s="36">
        <f>'[25]Incremental Fin. and Econ V'!P122</f>
        <v>5730518.0022117868</v>
      </c>
      <c r="O14" s="36">
        <f>'[25]Incremental Fin. and Econ V'!Q122</f>
        <v>5730518.0022117868</v>
      </c>
      <c r="P14" s="36">
        <f>'[25]Incremental Fin. and Econ V'!R122</f>
        <v>5730518.0022117868</v>
      </c>
      <c r="Q14" s="36">
        <f>'[25]Incremental Fin. and Econ V'!S122</f>
        <v>5730518.0022117868</v>
      </c>
      <c r="R14" s="36">
        <f>'[25]Incremental Fin. and Econ V'!T122</f>
        <v>5730518.0022117868</v>
      </c>
      <c r="S14" s="36">
        <f>'[25]Incremental Fin. and Econ V'!U122</f>
        <v>5730518.0022117868</v>
      </c>
      <c r="T14" s="36">
        <f>'[25]Incremental Fin. and Econ V'!V122</f>
        <v>5730518.0022117868</v>
      </c>
      <c r="U14" s="36">
        <f>'[25]Incremental Fin. and Econ V'!W122</f>
        <v>5730518.0022117868</v>
      </c>
      <c r="V14" s="37">
        <f>'[25]Incremental Fin. and Econ V'!X122</f>
        <v>5730518.0022117868</v>
      </c>
      <c r="W14" s="5"/>
      <c r="X14" s="17"/>
    </row>
    <row r="15" spans="1:24" s="48" customFormat="1" ht="14.25">
      <c r="A15" s="38" t="s">
        <v>14</v>
      </c>
      <c r="B15" s="35" t="s">
        <v>1</v>
      </c>
      <c r="C15" s="36">
        <f>'[25]Incremental Fin. and Econ M'!E124</f>
        <v>527148.00292547885</v>
      </c>
      <c r="D15" s="36">
        <f>'[25]Incremental Fin. and Econ M'!F124</f>
        <v>1054296.0058509577</v>
      </c>
      <c r="E15" s="36">
        <f>'[25]Incremental Fin. and Econ M'!G124</f>
        <v>1581444.0087764368</v>
      </c>
      <c r="F15" s="36">
        <f>'[25]Incremental Fin. and Econ M'!H124</f>
        <v>2108592.0117019154</v>
      </c>
      <c r="G15" s="36">
        <f>'[25]Incremental Fin. and Econ M'!I124</f>
        <v>2635740.0146273947</v>
      </c>
      <c r="H15" s="36">
        <f>'[25]Incremental Fin. and Econ M'!J124</f>
        <v>2635740.0146273947</v>
      </c>
      <c r="I15" s="36">
        <f>'[25]Incremental Fin. and Econ M'!K124</f>
        <v>2635740.0146273947</v>
      </c>
      <c r="J15" s="36">
        <f>'[25]Incremental Fin. and Econ M'!L124</f>
        <v>2635740.0146273947</v>
      </c>
      <c r="K15" s="36">
        <f>'[25]Incremental Fin. and Econ M'!M124</f>
        <v>2635740.0146273947</v>
      </c>
      <c r="L15" s="36">
        <f>'[25]Incremental Fin. and Econ M'!N124</f>
        <v>2635740.0146273947</v>
      </c>
      <c r="M15" s="36">
        <f>'[25]Incremental Fin. and Econ M'!O124</f>
        <v>2635740.0146273947</v>
      </c>
      <c r="N15" s="36">
        <f>'[25]Incremental Fin. and Econ M'!P124</f>
        <v>2635740.0146273947</v>
      </c>
      <c r="O15" s="36">
        <f>'[25]Incremental Fin. and Econ M'!Q124</f>
        <v>2635740.0146273947</v>
      </c>
      <c r="P15" s="36">
        <f>'[25]Incremental Fin. and Econ M'!R124</f>
        <v>2635740.0146273947</v>
      </c>
      <c r="Q15" s="36">
        <f>'[25]Incremental Fin. and Econ M'!S124</f>
        <v>2635740.0146273947</v>
      </c>
      <c r="R15" s="36">
        <f>'[25]Incremental Fin. and Econ M'!T124</f>
        <v>2635740.0146273947</v>
      </c>
      <c r="S15" s="36">
        <f>'[25]Incremental Fin. and Econ M'!U124</f>
        <v>2635740.0146273947</v>
      </c>
      <c r="T15" s="36">
        <f>'[25]Incremental Fin. and Econ M'!V124</f>
        <v>2635740.0146273947</v>
      </c>
      <c r="U15" s="36">
        <f>'[25]Incremental Fin. and Econ M'!W124</f>
        <v>2635740.0146273947</v>
      </c>
      <c r="V15" s="37">
        <f>'[25]Incremental Fin. and Econ M'!X124</f>
        <v>2635740.0146273947</v>
      </c>
      <c r="W15" s="5"/>
      <c r="X15" s="47"/>
    </row>
    <row r="16" spans="1:24" s="48" customFormat="1" ht="14.25">
      <c r="A16" s="38" t="s">
        <v>15</v>
      </c>
      <c r="B16" s="35" t="s">
        <v>1</v>
      </c>
      <c r="C16" s="36">
        <f>'[25]Incremental Fin. and Econ R'!E122</f>
        <v>690786.53079694905</v>
      </c>
      <c r="D16" s="36">
        <f>'[25]Incremental Fin. and Econ R'!F122</f>
        <v>1381573.0615938981</v>
      </c>
      <c r="E16" s="36">
        <f>'[25]Incremental Fin. and Econ R'!G122</f>
        <v>2072359.5923908474</v>
      </c>
      <c r="F16" s="36">
        <f>'[25]Incremental Fin. and Econ R'!H122</f>
        <v>2763146.1231877962</v>
      </c>
      <c r="G16" s="36">
        <f>'[25]Incremental Fin. and Econ R'!I122</f>
        <v>3453932.653984746</v>
      </c>
      <c r="H16" s="36">
        <f>'[25]Incremental Fin. and Econ R'!J122</f>
        <v>3453932.653984746</v>
      </c>
      <c r="I16" s="36">
        <f>'[25]Incremental Fin. and Econ R'!K122</f>
        <v>3453932.653984746</v>
      </c>
      <c r="J16" s="36">
        <f>'[25]Incremental Fin. and Econ R'!L122</f>
        <v>3453932.653984746</v>
      </c>
      <c r="K16" s="36">
        <f>'[25]Incremental Fin. and Econ R'!M122</f>
        <v>3453932.653984746</v>
      </c>
      <c r="L16" s="36">
        <f>'[25]Incremental Fin. and Econ R'!N122</f>
        <v>3453932.653984746</v>
      </c>
      <c r="M16" s="36">
        <f>'[25]Incremental Fin. and Econ R'!O122</f>
        <v>3453932.653984746</v>
      </c>
      <c r="N16" s="36">
        <f>'[25]Incremental Fin. and Econ R'!P122</f>
        <v>3453932.653984746</v>
      </c>
      <c r="O16" s="36">
        <f>'[25]Incremental Fin. and Econ R'!Q122</f>
        <v>3453932.653984746</v>
      </c>
      <c r="P16" s="36">
        <f>'[25]Incremental Fin. and Econ R'!R122</f>
        <v>3453932.653984746</v>
      </c>
      <c r="Q16" s="36">
        <f>'[25]Incremental Fin. and Econ R'!S122</f>
        <v>3453932.653984746</v>
      </c>
      <c r="R16" s="36">
        <f>'[25]Incremental Fin. and Econ R'!T122</f>
        <v>3453932.653984746</v>
      </c>
      <c r="S16" s="36">
        <f>'[25]Incremental Fin. and Econ R'!U122</f>
        <v>3453932.653984746</v>
      </c>
      <c r="T16" s="36">
        <f>'[25]Incremental Fin. and Econ R'!V122</f>
        <v>3453932.653984746</v>
      </c>
      <c r="U16" s="36">
        <f>'[25]Incremental Fin. and Econ R'!W122</f>
        <v>3453932.653984746</v>
      </c>
      <c r="V16" s="37">
        <f>'[25]Incremental Fin. and Econ R'!X122</f>
        <v>3453932.653984746</v>
      </c>
      <c r="W16" s="5"/>
      <c r="X16" s="47"/>
    </row>
    <row r="17" spans="1:24" s="48" customFormat="1" ht="14.25">
      <c r="A17" s="538" t="s">
        <v>16</v>
      </c>
      <c r="B17" s="539" t="s">
        <v>1</v>
      </c>
      <c r="C17" s="36">
        <f>'[25]Incremental Fin. and Econ O'!E122</f>
        <v>991682.52094813623</v>
      </c>
      <c r="D17" s="36">
        <f>'[25]Incremental Fin. and Econ O'!F122</f>
        <v>1983365.0418962725</v>
      </c>
      <c r="E17" s="36">
        <f>'[25]Incremental Fin. and Econ O'!G122</f>
        <v>2975047.5628444087</v>
      </c>
      <c r="F17" s="36">
        <f>'[25]Incremental Fin. and Econ O'!H122</f>
        <v>3966730.0837925449</v>
      </c>
      <c r="G17" s="36">
        <f>'[25]Incremental Fin. and Econ O'!I122</f>
        <v>4958412.6047406811</v>
      </c>
      <c r="H17" s="36">
        <f>'[25]Incremental Fin. and Econ O'!J122</f>
        <v>4958412.6047406811</v>
      </c>
      <c r="I17" s="36">
        <f>'[25]Incremental Fin. and Econ O'!K122</f>
        <v>4958412.6047406811</v>
      </c>
      <c r="J17" s="36">
        <f>'[25]Incremental Fin. and Econ O'!L122</f>
        <v>4958412.6047406811</v>
      </c>
      <c r="K17" s="36">
        <f>'[25]Incremental Fin. and Econ O'!M122</f>
        <v>4958412.6047406811</v>
      </c>
      <c r="L17" s="36">
        <f>'[25]Incremental Fin. and Econ O'!N122</f>
        <v>4958412.6047406811</v>
      </c>
      <c r="M17" s="36">
        <f>'[25]Incremental Fin. and Econ O'!O122</f>
        <v>4958412.6047406811</v>
      </c>
      <c r="N17" s="36">
        <f>'[25]Incremental Fin. and Econ O'!P122</f>
        <v>4958412.6047406811</v>
      </c>
      <c r="O17" s="36">
        <f>'[25]Incremental Fin. and Econ O'!Q122</f>
        <v>4958412.6047406811</v>
      </c>
      <c r="P17" s="36">
        <f>'[25]Incremental Fin. and Econ O'!R122</f>
        <v>4958412.6047406811</v>
      </c>
      <c r="Q17" s="36">
        <f>'[25]Incremental Fin. and Econ O'!S122</f>
        <v>4958412.6047406811</v>
      </c>
      <c r="R17" s="36">
        <f>'[25]Incremental Fin. and Econ O'!T122</f>
        <v>4958412.6047406811</v>
      </c>
      <c r="S17" s="36">
        <f>'[25]Incremental Fin. and Econ O'!U122</f>
        <v>4958412.6047406811</v>
      </c>
      <c r="T17" s="36">
        <f>'[25]Incremental Fin. and Econ O'!V122</f>
        <v>4958412.6047406811</v>
      </c>
      <c r="U17" s="36">
        <f>'[25]Incremental Fin. and Econ O'!W122</f>
        <v>4958412.6047406811</v>
      </c>
      <c r="V17" s="37">
        <f>'[25]Incremental Fin. and Econ O'!X122</f>
        <v>4958412.6047406811</v>
      </c>
      <c r="W17" s="5"/>
      <c r="X17" s="47"/>
    </row>
    <row r="18" spans="1:24" s="18" customFormat="1" thickBot="1">
      <c r="A18" s="538" t="s">
        <v>17</v>
      </c>
      <c r="B18" s="539" t="s">
        <v>1</v>
      </c>
      <c r="C18" s="36">
        <f>'[25]Incremental Fin. and Econ C'!E122</f>
        <v>2409037.0635218541</v>
      </c>
      <c r="D18" s="36">
        <f>'[25]Incremental Fin. and Econ C'!F122</f>
        <v>4818074.1270437082</v>
      </c>
      <c r="E18" s="36">
        <f>'[25]Incremental Fin. and Econ C'!G122</f>
        <v>7227111.1905655609</v>
      </c>
      <c r="F18" s="36">
        <f>'[25]Incremental Fin. and Econ C'!H122</f>
        <v>9636148.2540874165</v>
      </c>
      <c r="G18" s="36">
        <f>'[25]Incremental Fin. and Econ C'!I122</f>
        <v>12045185.317609269</v>
      </c>
      <c r="H18" s="36">
        <f>'[25]Incremental Fin. and Econ C'!J122</f>
        <v>12045185.317609269</v>
      </c>
      <c r="I18" s="36">
        <f>'[25]Incremental Fin. and Econ C'!K122</f>
        <v>12045185.317609269</v>
      </c>
      <c r="J18" s="36">
        <f>'[25]Incremental Fin. and Econ C'!L122</f>
        <v>12045185.317609269</v>
      </c>
      <c r="K18" s="36">
        <f>'[25]Incremental Fin. and Econ C'!M122</f>
        <v>12045185.317609269</v>
      </c>
      <c r="L18" s="36">
        <f>'[25]Incremental Fin. and Econ C'!N122</f>
        <v>12045185.317609269</v>
      </c>
      <c r="M18" s="36">
        <f>'[25]Incremental Fin. and Econ C'!O122</f>
        <v>12045185.317609269</v>
      </c>
      <c r="N18" s="36">
        <f>'[25]Incremental Fin. and Econ C'!P122</f>
        <v>12045185.317609269</v>
      </c>
      <c r="O18" s="36">
        <f>'[25]Incremental Fin. and Econ C'!Q122</f>
        <v>12045185.317609269</v>
      </c>
      <c r="P18" s="36">
        <f>'[25]Incremental Fin. and Econ C'!R122</f>
        <v>12045185.317609269</v>
      </c>
      <c r="Q18" s="36">
        <f>'[25]Incremental Fin. and Econ C'!S122</f>
        <v>12045185.317609269</v>
      </c>
      <c r="R18" s="36">
        <f>'[25]Incremental Fin. and Econ C'!T122</f>
        <v>12045185.317609269</v>
      </c>
      <c r="S18" s="36">
        <f>'[25]Incremental Fin. and Econ C'!U122</f>
        <v>12045185.317609269</v>
      </c>
      <c r="T18" s="36">
        <f>'[25]Incremental Fin. and Econ C'!V122</f>
        <v>12045185.317609269</v>
      </c>
      <c r="U18" s="36">
        <f>'[25]Incremental Fin. and Econ C'!W122</f>
        <v>12045185.317609269</v>
      </c>
      <c r="V18" s="37">
        <f>'[25]Incremental Fin. and Econ C'!X122</f>
        <v>12045185.317609269</v>
      </c>
      <c r="W18" s="5"/>
      <c r="X18" s="17"/>
    </row>
    <row r="19" spans="1:24" s="48" customFormat="1" thickBot="1">
      <c r="A19" s="52" t="s">
        <v>21</v>
      </c>
      <c r="B19" s="44" t="s">
        <v>1</v>
      </c>
      <c r="C19" s="45">
        <f>SUM(C13:C18)</f>
        <v>6621480.8144948725</v>
      </c>
      <c r="D19" s="45">
        <f t="shared" ref="D19:V19" si="2">SUM(D13:D18)</f>
        <v>12386238.533129647</v>
      </c>
      <c r="E19" s="45">
        <f t="shared" si="2"/>
        <v>18150996.25176442</v>
      </c>
      <c r="F19" s="45">
        <f t="shared" si="2"/>
        <v>23915753.970399201</v>
      </c>
      <c r="G19" s="45">
        <f t="shared" si="2"/>
        <v>29680511.689033974</v>
      </c>
      <c r="H19" s="45">
        <f t="shared" si="2"/>
        <v>28823788.59317388</v>
      </c>
      <c r="I19" s="45">
        <f t="shared" si="2"/>
        <v>28823788.59317388</v>
      </c>
      <c r="J19" s="45">
        <f t="shared" si="2"/>
        <v>28823788.59317388</v>
      </c>
      <c r="K19" s="45">
        <f t="shared" si="2"/>
        <v>28823788.59317388</v>
      </c>
      <c r="L19" s="45">
        <f t="shared" si="2"/>
        <v>28823788.59317388</v>
      </c>
      <c r="M19" s="45">
        <f t="shared" si="2"/>
        <v>28823788.59317388</v>
      </c>
      <c r="N19" s="45">
        <f t="shared" si="2"/>
        <v>28823788.59317388</v>
      </c>
      <c r="O19" s="45">
        <f t="shared" si="2"/>
        <v>28823788.59317388</v>
      </c>
      <c r="P19" s="45">
        <f t="shared" si="2"/>
        <v>28823788.59317388</v>
      </c>
      <c r="Q19" s="45">
        <f t="shared" si="2"/>
        <v>28823788.59317388</v>
      </c>
      <c r="R19" s="45">
        <f t="shared" si="2"/>
        <v>28823788.59317388</v>
      </c>
      <c r="S19" s="45">
        <f t="shared" si="2"/>
        <v>28823788.59317388</v>
      </c>
      <c r="T19" s="45">
        <f t="shared" si="2"/>
        <v>28823788.59317388</v>
      </c>
      <c r="U19" s="45">
        <f t="shared" si="2"/>
        <v>28823788.59317388</v>
      </c>
      <c r="V19" s="46">
        <f t="shared" si="2"/>
        <v>28823788.59317388</v>
      </c>
      <c r="W19" s="14"/>
      <c r="X19" s="47"/>
    </row>
    <row r="20" spans="1:24" s="48" customFormat="1" ht="14.25">
      <c r="A20" s="53" t="s">
        <v>0</v>
      </c>
      <c r="B20" s="54" t="str">
        <f>B19</f>
        <v>USD</v>
      </c>
      <c r="C20" s="45">
        <f>C11-C19</f>
        <v>-4022030.6221567756</v>
      </c>
      <c r="D20" s="45">
        <f t="shared" ref="D20:V20" si="3">D11-D19</f>
        <v>-3868257.0776112527</v>
      </c>
      <c r="E20" s="45">
        <f t="shared" si="3"/>
        <v>-2176506.01953578</v>
      </c>
      <c r="F20" s="45">
        <f t="shared" si="3"/>
        <v>4818784.3410632536</v>
      </c>
      <c r="G20" s="45">
        <f t="shared" si="3"/>
        <v>6237661.200294096</v>
      </c>
      <c r="H20" s="45">
        <f t="shared" si="3"/>
        <v>7094384.2961541899</v>
      </c>
      <c r="I20" s="45">
        <f t="shared" si="3"/>
        <v>7094384.2961541899</v>
      </c>
      <c r="J20" s="45">
        <f t="shared" si="3"/>
        <v>7094384.2961541899</v>
      </c>
      <c r="K20" s="45">
        <f t="shared" si="3"/>
        <v>7094384.2961541899</v>
      </c>
      <c r="L20" s="45">
        <f t="shared" si="3"/>
        <v>7094384.2961541899</v>
      </c>
      <c r="M20" s="45">
        <f t="shared" si="3"/>
        <v>7094384.2961541899</v>
      </c>
      <c r="N20" s="45">
        <f t="shared" si="3"/>
        <v>7094384.2961541899</v>
      </c>
      <c r="O20" s="45">
        <f t="shared" si="3"/>
        <v>7094384.2961541899</v>
      </c>
      <c r="P20" s="45">
        <f t="shared" si="3"/>
        <v>7094384.2961541899</v>
      </c>
      <c r="Q20" s="45">
        <f t="shared" si="3"/>
        <v>7094384.2961541899</v>
      </c>
      <c r="R20" s="45">
        <f t="shared" si="3"/>
        <v>7094384.2961541899</v>
      </c>
      <c r="S20" s="45">
        <f t="shared" si="3"/>
        <v>7094384.2961541899</v>
      </c>
      <c r="T20" s="45">
        <f t="shared" si="3"/>
        <v>7094384.2961541899</v>
      </c>
      <c r="U20" s="45">
        <f t="shared" si="3"/>
        <v>7094384.2961541899</v>
      </c>
      <c r="V20" s="46">
        <f t="shared" si="3"/>
        <v>7094384.2961541899</v>
      </c>
      <c r="W20" s="14"/>
      <c r="X20" s="47"/>
    </row>
    <row r="21" spans="1:24" s="18" customFormat="1" ht="14.25">
      <c r="A21" s="55"/>
      <c r="B21" s="56"/>
      <c r="C21" s="36"/>
      <c r="D21" s="36"/>
      <c r="E21" s="36"/>
      <c r="F21" s="36"/>
      <c r="G21" s="36"/>
      <c r="H21" s="36"/>
      <c r="I21" s="36"/>
      <c r="J21" s="36"/>
      <c r="K21" s="36"/>
      <c r="L21" s="36"/>
      <c r="M21" s="36"/>
      <c r="N21" s="36"/>
      <c r="O21" s="36"/>
      <c r="P21" s="36"/>
      <c r="Q21" s="36"/>
      <c r="R21" s="36"/>
      <c r="S21" s="36"/>
      <c r="T21" s="36"/>
      <c r="U21" s="36"/>
      <c r="V21" s="37"/>
      <c r="W21" s="5"/>
      <c r="X21" s="17"/>
    </row>
    <row r="22" spans="1:24" s="18" customFormat="1" ht="14.25">
      <c r="A22" s="57" t="s">
        <v>36</v>
      </c>
      <c r="B22" s="54" t="str">
        <f>B20</f>
        <v>USD</v>
      </c>
      <c r="C22" s="36">
        <f>'[25]Carbon and SCC'!E21</f>
        <v>89452.829543257001</v>
      </c>
      <c r="D22" s="36">
        <f>'[25]Carbon and SCC'!F21</f>
        <v>183269.21174716068</v>
      </c>
      <c r="E22" s="36">
        <f>'[25]Carbon and SCC'!G21</f>
        <v>281449.14661171107</v>
      </c>
      <c r="F22" s="36">
        <f>'[25]Carbon and SCC'!H21</f>
        <v>383992.63413690811</v>
      </c>
      <c r="G22" s="36">
        <f>'[25]Carbon and SCC'!I21</f>
        <v>490899.67432275187</v>
      </c>
      <c r="H22" s="36">
        <f>'[25]Carbon and SCC'!J21</f>
        <v>501808.55597436853</v>
      </c>
      <c r="I22" s="36">
        <f>'[25]Carbon and SCC'!K21</f>
        <v>512717.4376259853</v>
      </c>
      <c r="J22" s="36">
        <f>'[25]Carbon and SCC'!L21</f>
        <v>523626.31927760202</v>
      </c>
      <c r="K22" s="36">
        <f>'[25]Carbon and SCC'!M21</f>
        <v>534535.20092921879</v>
      </c>
      <c r="L22" s="36">
        <f>'[25]Carbon and SCC'!N21</f>
        <v>545444.08258083544</v>
      </c>
      <c r="M22" s="36">
        <f>'[25]Carbon and SCC'!O21</f>
        <v>556352.9642324521</v>
      </c>
      <c r="N22" s="36">
        <f>'[25]Carbon and SCC'!P21</f>
        <v>567261.84588406875</v>
      </c>
      <c r="O22" s="36">
        <f>'[25]Carbon and SCC'!Q21</f>
        <v>578170.72753568552</v>
      </c>
      <c r="P22" s="36">
        <f>'[25]Carbon and SCC'!R21</f>
        <v>599988.49083891895</v>
      </c>
      <c r="Q22" s="36">
        <f>'[25]Carbon and SCC'!S21</f>
        <v>610897.37249053561</v>
      </c>
      <c r="R22" s="36">
        <f>'[25]Carbon and SCC'!T21</f>
        <v>621806.25414215238</v>
      </c>
      <c r="S22" s="36">
        <f>'[25]Carbon and SCC'!U21</f>
        <v>632715.13579376903</v>
      </c>
      <c r="T22" s="36">
        <f>'[25]Carbon and SCC'!V21</f>
        <v>654532.89909700246</v>
      </c>
      <c r="U22" s="36">
        <f>'[25]Carbon and SCC'!W21</f>
        <v>665441.78074861912</v>
      </c>
      <c r="V22" s="37">
        <f>'[25]Carbon and SCC'!X21</f>
        <v>687259.54405185254</v>
      </c>
      <c r="W22" s="5"/>
      <c r="X22" s="17"/>
    </row>
    <row r="23" spans="1:24" s="18" customFormat="1" ht="14.25">
      <c r="A23" s="57" t="s">
        <v>37</v>
      </c>
      <c r="B23" s="54" t="str">
        <f>B22</f>
        <v>USD</v>
      </c>
      <c r="C23" s="36">
        <f>'[25]Carbon and SCC'!E20</f>
        <v>178905.659086514</v>
      </c>
      <c r="D23" s="36">
        <f>'[25]Carbon and SCC'!F20</f>
        <v>366538.42349432135</v>
      </c>
      <c r="E23" s="36">
        <f>'[25]Carbon and SCC'!G20</f>
        <v>562898.29322342214</v>
      </c>
      <c r="F23" s="36">
        <f>'[25]Carbon and SCC'!H20</f>
        <v>759258.16295252298</v>
      </c>
      <c r="G23" s="36">
        <f>'[25]Carbon and SCC'!I20</f>
        <v>970890.46699388709</v>
      </c>
      <c r="H23" s="36">
        <f>'[25]Carbon and SCC'!J20</f>
        <v>992708.23029712052</v>
      </c>
      <c r="I23" s="36">
        <f>'[25]Carbon and SCC'!K20</f>
        <v>1025434.8752519706</v>
      </c>
      <c r="J23" s="36">
        <f>'[25]Carbon and SCC'!L20</f>
        <v>1047252.638555204</v>
      </c>
      <c r="K23" s="36">
        <f>'[25]Carbon and SCC'!M20</f>
        <v>1069070.4018584376</v>
      </c>
      <c r="L23" s="36">
        <f>'[25]Carbon and SCC'!N20</f>
        <v>1090888.1651616709</v>
      </c>
      <c r="M23" s="36">
        <f>'[25]Carbon and SCC'!O20</f>
        <v>1112705.9284649042</v>
      </c>
      <c r="N23" s="36">
        <f>'[25]Carbon and SCC'!P20</f>
        <v>1145432.5734197542</v>
      </c>
      <c r="O23" s="36">
        <f>'[25]Carbon and SCC'!Q20</f>
        <v>1167250.3367229877</v>
      </c>
      <c r="P23" s="36">
        <f>'[25]Carbon and SCC'!R20</f>
        <v>1189068.100026221</v>
      </c>
      <c r="Q23" s="36">
        <f>'[25]Carbon and SCC'!S20</f>
        <v>1221794.7449810712</v>
      </c>
      <c r="R23" s="36">
        <f>'[25]Carbon and SCC'!T20</f>
        <v>1243612.5082843048</v>
      </c>
      <c r="S23" s="36">
        <f>'[25]Carbon and SCC'!U20</f>
        <v>1276339.1532391547</v>
      </c>
      <c r="T23" s="36">
        <f>'[25]Carbon and SCC'!V20</f>
        <v>1309065.7981940049</v>
      </c>
      <c r="U23" s="36">
        <f>'[25]Carbon and SCC'!W20</f>
        <v>1330883.5614972382</v>
      </c>
      <c r="V23" s="37">
        <f>'[25]Carbon and SCC'!X20</f>
        <v>1363610.2064520887</v>
      </c>
      <c r="W23" s="5"/>
      <c r="X23" s="17"/>
    </row>
    <row r="24" spans="1:24" s="18" customFormat="1" ht="14.25">
      <c r="A24" s="58"/>
      <c r="B24" s="54"/>
      <c r="C24" s="36"/>
      <c r="D24" s="36"/>
      <c r="E24" s="36"/>
      <c r="F24" s="36"/>
      <c r="G24" s="36"/>
      <c r="H24" s="36"/>
      <c r="I24" s="36"/>
      <c r="J24" s="36"/>
      <c r="K24" s="36"/>
      <c r="L24" s="36"/>
      <c r="M24" s="36"/>
      <c r="N24" s="36"/>
      <c r="O24" s="36"/>
      <c r="P24" s="36"/>
      <c r="Q24" s="36"/>
      <c r="R24" s="36"/>
      <c r="S24" s="36"/>
      <c r="T24" s="36"/>
      <c r="U24" s="36"/>
      <c r="V24" s="37"/>
      <c r="W24" s="5"/>
      <c r="X24" s="17"/>
    </row>
    <row r="25" spans="1:24" s="48" customFormat="1" ht="14.25">
      <c r="A25" s="59" t="s">
        <v>38</v>
      </c>
      <c r="B25" s="54" t="str">
        <f>B23</f>
        <v>USD</v>
      </c>
      <c r="C25" s="45">
        <f>C22+C20</f>
        <v>-3932577.7926135184</v>
      </c>
      <c r="D25" s="45">
        <f t="shared" ref="D25:V25" si="4">D22+D20</f>
        <v>-3684987.865864092</v>
      </c>
      <c r="E25" s="45">
        <f t="shared" si="4"/>
        <v>-1895056.8729240689</v>
      </c>
      <c r="F25" s="45">
        <f t="shared" si="4"/>
        <v>5202776.9752001613</v>
      </c>
      <c r="G25" s="45">
        <f t="shared" si="4"/>
        <v>6728560.8746168483</v>
      </c>
      <c r="H25" s="45">
        <f t="shared" si="4"/>
        <v>7596192.8521285588</v>
      </c>
      <c r="I25" s="45">
        <f t="shared" si="4"/>
        <v>7607101.7337801754</v>
      </c>
      <c r="J25" s="45">
        <f t="shared" si="4"/>
        <v>7618010.6154317921</v>
      </c>
      <c r="K25" s="45">
        <f t="shared" si="4"/>
        <v>7628919.4970834088</v>
      </c>
      <c r="L25" s="45">
        <f t="shared" si="4"/>
        <v>7639828.3787350254</v>
      </c>
      <c r="M25" s="45">
        <f t="shared" si="4"/>
        <v>7650737.2603866421</v>
      </c>
      <c r="N25" s="45">
        <f t="shared" si="4"/>
        <v>7661646.1420382587</v>
      </c>
      <c r="O25" s="45">
        <f t="shared" si="4"/>
        <v>7672555.0236898754</v>
      </c>
      <c r="P25" s="45">
        <f t="shared" si="4"/>
        <v>7694372.7869931087</v>
      </c>
      <c r="Q25" s="45">
        <f t="shared" si="4"/>
        <v>7705281.6686447253</v>
      </c>
      <c r="R25" s="45">
        <f t="shared" si="4"/>
        <v>7716190.550296342</v>
      </c>
      <c r="S25" s="45">
        <f t="shared" si="4"/>
        <v>7727099.4319479587</v>
      </c>
      <c r="T25" s="45">
        <f t="shared" si="4"/>
        <v>7748917.195251192</v>
      </c>
      <c r="U25" s="45">
        <f t="shared" si="4"/>
        <v>7759826.0769028086</v>
      </c>
      <c r="V25" s="46">
        <f t="shared" si="4"/>
        <v>7781643.8402060419</v>
      </c>
      <c r="W25" s="14"/>
      <c r="X25" s="47"/>
    </row>
    <row r="26" spans="1:24" s="48" customFormat="1" thickBot="1">
      <c r="A26" s="60" t="s">
        <v>39</v>
      </c>
      <c r="B26" s="61" t="str">
        <f>B25</f>
        <v>USD</v>
      </c>
      <c r="C26" s="62">
        <f>C23+C20</f>
        <v>-3843124.9630702618</v>
      </c>
      <c r="D26" s="62">
        <f t="shared" ref="D26:V26" si="5">D23+D20</f>
        <v>-3501718.6541169314</v>
      </c>
      <c r="E26" s="62">
        <f t="shared" si="5"/>
        <v>-1613607.7263123579</v>
      </c>
      <c r="F26" s="62">
        <f t="shared" si="5"/>
        <v>5578042.5040157763</v>
      </c>
      <c r="G26" s="62">
        <f t="shared" si="5"/>
        <v>7208551.667287983</v>
      </c>
      <c r="H26" s="62">
        <f t="shared" si="5"/>
        <v>8087092.5264513101</v>
      </c>
      <c r="I26" s="62">
        <f t="shared" si="5"/>
        <v>8119819.1714061601</v>
      </c>
      <c r="J26" s="62">
        <f t="shared" si="5"/>
        <v>8141636.9347093944</v>
      </c>
      <c r="K26" s="62">
        <f t="shared" si="5"/>
        <v>8163454.6980126277</v>
      </c>
      <c r="L26" s="62">
        <f t="shared" si="5"/>
        <v>8185272.461315861</v>
      </c>
      <c r="M26" s="62">
        <f t="shared" si="5"/>
        <v>8207090.2246190943</v>
      </c>
      <c r="N26" s="62">
        <f t="shared" si="5"/>
        <v>8239816.8695739442</v>
      </c>
      <c r="O26" s="62">
        <f t="shared" si="5"/>
        <v>8261634.6328771776</v>
      </c>
      <c r="P26" s="62">
        <f t="shared" si="5"/>
        <v>8283452.3961804109</v>
      </c>
      <c r="Q26" s="62">
        <f t="shared" si="5"/>
        <v>8316179.0411352608</v>
      </c>
      <c r="R26" s="62">
        <f t="shared" si="5"/>
        <v>8337996.8044384941</v>
      </c>
      <c r="S26" s="62">
        <f t="shared" si="5"/>
        <v>8370723.449393345</v>
      </c>
      <c r="T26" s="62">
        <f t="shared" si="5"/>
        <v>8403450.0943481941</v>
      </c>
      <c r="U26" s="62">
        <f t="shared" si="5"/>
        <v>8425267.8576514274</v>
      </c>
      <c r="V26" s="63">
        <f t="shared" si="5"/>
        <v>8457994.5026062783</v>
      </c>
      <c r="W26" s="14"/>
      <c r="X26" s="47"/>
    </row>
    <row r="27" spans="1:24" s="18" customFormat="1" thickBot="1">
      <c r="A27" s="64"/>
      <c r="B27" s="22"/>
      <c r="C27" s="65"/>
      <c r="D27" s="65"/>
      <c r="E27" s="65"/>
      <c r="F27" s="65"/>
      <c r="G27" s="65"/>
      <c r="H27" s="65"/>
      <c r="I27" s="66"/>
      <c r="J27" s="66"/>
      <c r="K27" s="67"/>
      <c r="L27" s="67"/>
      <c r="M27" s="67"/>
      <c r="N27" s="67"/>
      <c r="O27" s="67"/>
      <c r="P27" s="67"/>
      <c r="Q27" s="67"/>
      <c r="R27" s="67"/>
      <c r="S27" s="67"/>
      <c r="T27" s="67"/>
      <c r="U27" s="67"/>
      <c r="V27" s="68"/>
      <c r="W27" s="69"/>
      <c r="X27" s="17"/>
    </row>
    <row r="28" spans="1:24" s="18" customFormat="1" ht="14.25">
      <c r="A28" s="997" t="s">
        <v>22</v>
      </c>
      <c r="B28" s="998"/>
      <c r="C28" s="70"/>
      <c r="D28" s="71"/>
      <c r="E28" s="71"/>
      <c r="F28" s="71"/>
      <c r="G28" s="71"/>
      <c r="H28" s="71"/>
      <c r="I28" s="72"/>
      <c r="J28" s="72"/>
      <c r="K28" s="66"/>
      <c r="L28" s="66"/>
      <c r="M28" s="66"/>
      <c r="N28" s="66"/>
      <c r="O28" s="66"/>
      <c r="P28" s="66"/>
      <c r="Q28" s="66"/>
      <c r="R28" s="66"/>
      <c r="S28" s="66"/>
      <c r="T28" s="66"/>
      <c r="U28" s="66"/>
      <c r="V28" s="73"/>
      <c r="W28" s="74"/>
      <c r="X28" s="17"/>
    </row>
    <row r="29" spans="1:24" s="18" customFormat="1" ht="14.25">
      <c r="A29" s="53" t="s">
        <v>10</v>
      </c>
      <c r="B29" s="75">
        <f>[25]Calculations!B3</f>
        <v>0.06</v>
      </c>
      <c r="C29" s="70"/>
      <c r="D29" s="71"/>
      <c r="E29" s="71"/>
      <c r="F29" s="71"/>
      <c r="G29" s="71"/>
      <c r="H29" s="71"/>
      <c r="I29" s="72"/>
      <c r="J29" s="72"/>
      <c r="K29" s="72"/>
      <c r="L29" s="72"/>
      <c r="M29" s="72"/>
      <c r="N29" s="72"/>
      <c r="O29" s="72"/>
      <c r="P29" s="72"/>
      <c r="Q29" s="72"/>
      <c r="R29" s="72"/>
      <c r="S29" s="72"/>
      <c r="T29" s="72"/>
      <c r="U29" s="72"/>
      <c r="V29" s="76"/>
      <c r="W29" s="74"/>
      <c r="X29" s="17"/>
    </row>
    <row r="30" spans="1:24" s="18" customFormat="1" thickBot="1">
      <c r="A30" s="999" t="s">
        <v>23</v>
      </c>
      <c r="B30" s="1000"/>
      <c r="C30" s="77"/>
      <c r="D30" s="72"/>
      <c r="E30" s="72"/>
      <c r="F30" s="72"/>
      <c r="G30" s="72"/>
      <c r="H30" s="72"/>
      <c r="I30" s="72"/>
      <c r="J30" s="72"/>
      <c r="K30" s="72"/>
      <c r="L30" s="72"/>
      <c r="M30" s="72"/>
      <c r="N30" s="72"/>
      <c r="O30" s="72"/>
      <c r="P30" s="72"/>
      <c r="Q30" s="72"/>
      <c r="R30" s="72"/>
      <c r="S30" s="72"/>
      <c r="T30" s="72"/>
      <c r="U30" s="72"/>
      <c r="V30" s="76"/>
      <c r="W30" s="74"/>
      <c r="X30" s="17"/>
    </row>
    <row r="31" spans="1:24" s="18" customFormat="1" thickBot="1">
      <c r="A31" s="78" t="s">
        <v>7</v>
      </c>
      <c r="B31" s="147">
        <f>NPV(B29,C20:W20)</f>
        <v>50901433.370424427</v>
      </c>
      <c r="C31" s="80" t="s">
        <v>1</v>
      </c>
      <c r="D31" s="80"/>
      <c r="E31" s="80"/>
      <c r="F31" s="80"/>
      <c r="G31" s="80"/>
      <c r="H31" s="80"/>
      <c r="I31" s="80"/>
      <c r="J31" s="80"/>
      <c r="K31" s="72"/>
      <c r="L31" s="72"/>
      <c r="M31" s="72"/>
      <c r="N31" s="72"/>
      <c r="O31" s="72"/>
      <c r="P31" s="72"/>
      <c r="Q31" s="72"/>
      <c r="R31" s="72"/>
      <c r="S31" s="72"/>
      <c r="T31" s="72"/>
      <c r="U31" s="72"/>
      <c r="V31" s="76"/>
      <c r="W31" s="74"/>
      <c r="X31" s="17"/>
    </row>
    <row r="32" spans="1:24" s="18" customFormat="1" thickBot="1">
      <c r="A32" s="78" t="s">
        <v>8</v>
      </c>
      <c r="B32" s="81">
        <f>IRR(C20:W20)</f>
        <v>0.40247420789579541</v>
      </c>
      <c r="C32" s="82" t="s">
        <v>24</v>
      </c>
      <c r="D32" s="82"/>
      <c r="E32" s="82"/>
      <c r="F32" s="82"/>
      <c r="G32" s="82"/>
      <c r="H32" s="82"/>
      <c r="I32" s="82"/>
      <c r="J32" s="82"/>
      <c r="K32" s="72"/>
      <c r="L32" s="72"/>
      <c r="M32" s="72"/>
      <c r="N32" s="72"/>
      <c r="O32" s="72"/>
      <c r="P32" s="72"/>
      <c r="Q32" s="72"/>
      <c r="R32" s="72"/>
      <c r="S32" s="72"/>
      <c r="T32" s="72"/>
      <c r="U32" s="72"/>
      <c r="V32" s="76"/>
      <c r="W32" s="74"/>
      <c r="X32" s="17"/>
    </row>
    <row r="33" spans="1:24" s="18" customFormat="1" thickBot="1">
      <c r="A33" s="78" t="s">
        <v>9</v>
      </c>
      <c r="B33" s="81">
        <f>MIRR(C20:W20,B29,B29)</f>
        <v>0.17082823569130023</v>
      </c>
      <c r="C33" s="80" t="s">
        <v>24</v>
      </c>
      <c r="D33" s="80"/>
      <c r="E33" s="80"/>
      <c r="F33" s="80"/>
      <c r="G33" s="80"/>
      <c r="H33" s="80"/>
      <c r="I33" s="80"/>
      <c r="J33" s="80"/>
      <c r="K33" s="72"/>
      <c r="L33" s="72"/>
      <c r="M33" s="72"/>
      <c r="N33" s="72"/>
      <c r="O33" s="72"/>
      <c r="P33" s="72"/>
      <c r="Q33" s="72"/>
      <c r="R33" s="72"/>
      <c r="S33" s="72"/>
      <c r="T33" s="72"/>
      <c r="U33" s="72"/>
      <c r="V33" s="76"/>
      <c r="W33" s="74"/>
      <c r="X33" s="17"/>
    </row>
    <row r="34" spans="1:24" s="18" customFormat="1" thickBot="1">
      <c r="A34" s="83" t="s">
        <v>25</v>
      </c>
      <c r="B34" s="148">
        <f>SUM(C11:V11)/SUM(C19:V19)</f>
        <v>1.2053201900225656</v>
      </c>
      <c r="C34" s="85"/>
      <c r="D34" s="85"/>
      <c r="E34" s="85"/>
      <c r="F34" s="85"/>
      <c r="G34" s="85"/>
      <c r="H34" s="85"/>
      <c r="I34" s="85"/>
      <c r="J34" s="85"/>
      <c r="K34" s="72"/>
      <c r="L34" s="72"/>
      <c r="M34" s="72"/>
      <c r="N34" s="72"/>
      <c r="O34" s="72"/>
      <c r="P34" s="72"/>
      <c r="Q34" s="72"/>
      <c r="R34" s="72"/>
      <c r="S34" s="72"/>
      <c r="T34" s="72"/>
      <c r="U34" s="72"/>
      <c r="V34" s="76"/>
      <c r="W34" s="74"/>
      <c r="X34" s="17"/>
    </row>
    <row r="35" spans="1:24" s="18" customFormat="1" thickBot="1">
      <c r="A35" s="87"/>
      <c r="B35" s="88"/>
      <c r="V35" s="90"/>
      <c r="W35" s="91"/>
      <c r="X35" s="17"/>
    </row>
    <row r="36" spans="1:24" s="18" customFormat="1" thickBot="1">
      <c r="A36" s="1001" t="s">
        <v>40</v>
      </c>
      <c r="B36" s="1002"/>
      <c r="C36" s="71"/>
      <c r="D36" s="71"/>
      <c r="E36" s="71"/>
      <c r="F36" s="71"/>
      <c r="G36" s="71"/>
      <c r="H36" s="71"/>
      <c r="I36" s="72"/>
      <c r="J36" s="72"/>
      <c r="K36" s="66"/>
      <c r="L36" s="66"/>
      <c r="M36" s="66"/>
      <c r="N36" s="66"/>
      <c r="O36" s="66"/>
      <c r="P36" s="66"/>
      <c r="Q36" s="66"/>
      <c r="R36" s="66"/>
      <c r="S36" s="66"/>
      <c r="T36" s="66"/>
      <c r="U36" s="66"/>
      <c r="V36" s="73"/>
      <c r="W36" s="74"/>
      <c r="X36" s="17"/>
    </row>
    <row r="37" spans="1:24" s="18" customFormat="1" thickBot="1">
      <c r="A37" s="93" t="s">
        <v>10</v>
      </c>
      <c r="B37" s="94">
        <f>B29</f>
        <v>0.06</v>
      </c>
      <c r="C37" s="71"/>
      <c r="D37" s="71"/>
      <c r="E37" s="71"/>
      <c r="F37" s="71"/>
      <c r="G37" s="71"/>
      <c r="H37" s="71"/>
      <c r="I37" s="72"/>
      <c r="J37" s="72"/>
      <c r="K37" s="72"/>
      <c r="L37" s="72"/>
      <c r="M37" s="72"/>
      <c r="N37" s="72"/>
      <c r="O37" s="72"/>
      <c r="P37" s="72"/>
      <c r="Q37" s="72"/>
      <c r="R37" s="72"/>
      <c r="S37" s="72"/>
      <c r="T37" s="72"/>
      <c r="U37" s="72"/>
      <c r="V37" s="76"/>
      <c r="W37" s="74"/>
      <c r="X37" s="17"/>
    </row>
    <row r="38" spans="1:24" s="18" customFormat="1" thickBot="1">
      <c r="A38" s="992" t="s">
        <v>23</v>
      </c>
      <c r="B38" s="993"/>
      <c r="C38" s="72"/>
      <c r="D38" s="72"/>
      <c r="E38" s="72"/>
      <c r="F38" s="72"/>
      <c r="G38" s="72"/>
      <c r="H38" s="72"/>
      <c r="I38" s="72"/>
      <c r="J38" s="72"/>
      <c r="K38" s="72"/>
      <c r="L38" s="72"/>
      <c r="M38" s="72"/>
      <c r="N38" s="72"/>
      <c r="O38" s="72"/>
      <c r="P38" s="72"/>
      <c r="Q38" s="72"/>
      <c r="R38" s="72"/>
      <c r="S38" s="72"/>
      <c r="T38" s="72"/>
      <c r="U38" s="72"/>
      <c r="V38" s="76"/>
      <c r="W38" s="74"/>
      <c r="X38" s="17"/>
    </row>
    <row r="39" spans="1:24" s="18" customFormat="1" thickBot="1">
      <c r="A39" s="13" t="s">
        <v>7</v>
      </c>
      <c r="B39" s="95">
        <f>NPV(B37,C25:W25)</f>
        <v>56210085.029900931</v>
      </c>
      <c r="C39" s="80" t="s">
        <v>1</v>
      </c>
      <c r="D39" s="80"/>
      <c r="E39" s="80"/>
      <c r="F39" s="80"/>
      <c r="G39" s="80"/>
      <c r="H39" s="80"/>
      <c r="I39" s="80"/>
      <c r="J39" s="80"/>
      <c r="K39" s="72"/>
      <c r="L39" s="72"/>
      <c r="M39" s="72"/>
      <c r="N39" s="72"/>
      <c r="O39" s="72"/>
      <c r="P39" s="72"/>
      <c r="Q39" s="72"/>
      <c r="R39" s="72"/>
      <c r="S39" s="72"/>
      <c r="T39" s="72"/>
      <c r="U39" s="72"/>
      <c r="V39" s="76"/>
      <c r="W39" s="74"/>
      <c r="X39" s="17"/>
    </row>
    <row r="40" spans="1:24" s="18" customFormat="1" thickBot="1">
      <c r="A40" s="541" t="s">
        <v>8</v>
      </c>
      <c r="B40" s="96">
        <f>IRR(C25:W25)</f>
        <v>0.43655843524134852</v>
      </c>
      <c r="C40" s="82" t="s">
        <v>24</v>
      </c>
      <c r="D40" s="82"/>
      <c r="E40" s="82"/>
      <c r="F40" s="82"/>
      <c r="G40" s="82"/>
      <c r="H40" s="82"/>
      <c r="I40" s="82"/>
      <c r="J40" s="82"/>
      <c r="K40" s="72"/>
      <c r="L40" s="72"/>
      <c r="M40" s="72"/>
      <c r="N40" s="72"/>
      <c r="O40" s="72"/>
      <c r="P40" s="72"/>
      <c r="Q40" s="72"/>
      <c r="R40" s="72"/>
      <c r="S40" s="72"/>
      <c r="T40" s="72"/>
      <c r="U40" s="72"/>
      <c r="V40" s="76"/>
      <c r="W40" s="74"/>
      <c r="X40" s="17"/>
    </row>
    <row r="41" spans="1:24" s="18" customFormat="1" thickBot="1">
      <c r="A41" s="83" t="s">
        <v>9</v>
      </c>
      <c r="B41" s="97">
        <f>MIRR(C25:W25,B37,B37)</f>
        <v>0.17900547052557814</v>
      </c>
      <c r="C41" s="80" t="s">
        <v>24</v>
      </c>
      <c r="D41" s="80"/>
      <c r="E41" s="80"/>
      <c r="F41" s="80"/>
      <c r="G41" s="80"/>
      <c r="H41" s="80"/>
      <c r="I41" s="80"/>
      <c r="J41" s="80"/>
      <c r="K41" s="72"/>
      <c r="L41" s="72"/>
      <c r="M41" s="72"/>
      <c r="N41" s="72"/>
      <c r="O41" s="72"/>
      <c r="P41" s="72"/>
      <c r="Q41" s="72"/>
      <c r="R41" s="72"/>
      <c r="S41" s="72"/>
      <c r="T41" s="72"/>
      <c r="U41" s="72"/>
      <c r="V41" s="76"/>
      <c r="W41" s="74"/>
      <c r="X41" s="17"/>
    </row>
    <row r="42" spans="1:24" ht="15.75" thickBot="1"/>
    <row r="43" spans="1:24" s="18" customFormat="1" thickBot="1">
      <c r="A43" s="1001" t="s">
        <v>41</v>
      </c>
      <c r="B43" s="1002"/>
      <c r="C43" s="71"/>
      <c r="D43" s="71"/>
      <c r="E43" s="71"/>
      <c r="F43" s="71"/>
      <c r="G43" s="71"/>
      <c r="H43" s="71"/>
      <c r="I43" s="72"/>
      <c r="J43" s="72"/>
      <c r="K43" s="66"/>
      <c r="L43" s="66"/>
      <c r="M43" s="66"/>
      <c r="N43" s="66"/>
      <c r="O43" s="66"/>
      <c r="P43" s="66"/>
      <c r="Q43" s="66"/>
      <c r="R43" s="66"/>
      <c r="S43" s="66"/>
      <c r="T43" s="66"/>
      <c r="U43" s="66"/>
      <c r="V43" s="73"/>
      <c r="W43" s="74"/>
      <c r="X43" s="17"/>
    </row>
    <row r="44" spans="1:24" s="18" customFormat="1" thickBot="1">
      <c r="A44" s="93" t="s">
        <v>10</v>
      </c>
      <c r="B44" s="94">
        <f>B37</f>
        <v>0.06</v>
      </c>
      <c r="C44" s="71"/>
      <c r="D44" s="71"/>
      <c r="E44" s="71"/>
      <c r="F44" s="71"/>
      <c r="G44" s="71"/>
      <c r="H44" s="71"/>
      <c r="I44" s="72"/>
      <c r="J44" s="72"/>
      <c r="K44" s="72"/>
      <c r="L44" s="72"/>
      <c r="M44" s="72"/>
      <c r="N44" s="72"/>
      <c r="O44" s="72"/>
      <c r="P44" s="72"/>
      <c r="Q44" s="72"/>
      <c r="R44" s="72"/>
      <c r="S44" s="72"/>
      <c r="T44" s="72"/>
      <c r="U44" s="72"/>
      <c r="V44" s="76"/>
      <c r="W44" s="74"/>
      <c r="X44" s="17"/>
    </row>
    <row r="45" spans="1:24" s="18" customFormat="1" thickBot="1">
      <c r="A45" s="992" t="s">
        <v>23</v>
      </c>
      <c r="B45" s="993"/>
      <c r="C45" s="72"/>
      <c r="D45" s="72"/>
      <c r="E45" s="72"/>
      <c r="F45" s="72"/>
      <c r="G45" s="72"/>
      <c r="H45" s="72"/>
      <c r="I45" s="72"/>
      <c r="J45" s="72"/>
      <c r="K45" s="72"/>
      <c r="L45" s="72"/>
      <c r="M45" s="72"/>
      <c r="N45" s="72"/>
      <c r="O45" s="72"/>
      <c r="P45" s="72"/>
      <c r="Q45" s="72"/>
      <c r="R45" s="72"/>
      <c r="S45" s="72"/>
      <c r="T45" s="72"/>
      <c r="U45" s="72"/>
      <c r="V45" s="76"/>
      <c r="W45" s="74"/>
      <c r="X45" s="17"/>
    </row>
    <row r="46" spans="1:24" s="18" customFormat="1" thickBot="1">
      <c r="A46" s="13" t="s">
        <v>7</v>
      </c>
      <c r="B46" s="95">
        <f>NPV(B44,C26:W26)</f>
        <v>61502342.53261064</v>
      </c>
      <c r="C46" s="80" t="s">
        <v>1</v>
      </c>
      <c r="D46" s="80"/>
      <c r="E46" s="80"/>
      <c r="F46" s="80"/>
      <c r="G46" s="80"/>
      <c r="H46" s="80"/>
      <c r="I46" s="80"/>
      <c r="J46" s="80"/>
      <c r="K46" s="72"/>
      <c r="L46" s="72"/>
      <c r="M46" s="72"/>
      <c r="N46" s="72"/>
      <c r="O46" s="72"/>
      <c r="P46" s="72"/>
      <c r="Q46" s="72"/>
      <c r="R46" s="72"/>
      <c r="S46" s="72"/>
      <c r="T46" s="72"/>
      <c r="U46" s="72"/>
      <c r="V46" s="76"/>
      <c r="W46" s="74"/>
      <c r="X46" s="17"/>
    </row>
    <row r="47" spans="1:24" s="18" customFormat="1" thickBot="1">
      <c r="A47" s="541" t="s">
        <v>8</v>
      </c>
      <c r="B47" s="96">
        <f>IRR(C26:W26)</f>
        <v>0.47113399408320644</v>
      </c>
      <c r="C47" s="82" t="s">
        <v>24</v>
      </c>
      <c r="D47" s="82"/>
      <c r="E47" s="82"/>
      <c r="F47" s="82"/>
      <c r="G47" s="82"/>
      <c r="H47" s="82"/>
      <c r="I47" s="82"/>
      <c r="J47" s="82"/>
      <c r="K47" s="72"/>
      <c r="L47" s="72"/>
      <c r="M47" s="72"/>
      <c r="N47" s="72"/>
      <c r="O47" s="72"/>
      <c r="P47" s="72"/>
      <c r="Q47" s="72"/>
      <c r="R47" s="72"/>
      <c r="S47" s="72"/>
      <c r="T47" s="72"/>
      <c r="U47" s="72"/>
      <c r="V47" s="76"/>
      <c r="W47" s="74"/>
      <c r="X47" s="17"/>
    </row>
    <row r="48" spans="1:24" s="18" customFormat="1" thickBot="1">
      <c r="A48" s="83" t="s">
        <v>9</v>
      </c>
      <c r="B48" s="97">
        <f>MIRR(C26:W26,B44,B44)</f>
        <v>0.18707659342646887</v>
      </c>
      <c r="C48" s="80" t="s">
        <v>24</v>
      </c>
      <c r="D48" s="80"/>
      <c r="E48" s="80"/>
      <c r="F48" s="80"/>
      <c r="G48" s="80"/>
      <c r="H48" s="80"/>
      <c r="I48" s="80"/>
      <c r="J48" s="80"/>
      <c r="K48" s="72"/>
      <c r="L48" s="72"/>
      <c r="M48" s="72"/>
      <c r="N48" s="72"/>
      <c r="O48" s="72"/>
      <c r="P48" s="72"/>
      <c r="Q48" s="72"/>
      <c r="R48" s="72"/>
      <c r="S48" s="72"/>
      <c r="T48" s="72"/>
      <c r="U48" s="72"/>
      <c r="V48" s="76"/>
      <c r="W48" s="74"/>
      <c r="X48" s="17"/>
    </row>
    <row r="51" spans="1:24" s="102" customFormat="1" ht="13.5" thickBot="1">
      <c r="B51" s="103" t="s">
        <v>26</v>
      </c>
      <c r="C51" s="104"/>
      <c r="D51" s="104"/>
      <c r="E51" s="104"/>
      <c r="F51" s="104"/>
      <c r="G51" s="104"/>
      <c r="H51" s="104"/>
      <c r="I51" s="104"/>
      <c r="J51" s="104"/>
      <c r="K51" s="104"/>
      <c r="L51" s="104"/>
      <c r="M51" s="104"/>
      <c r="N51" s="104"/>
      <c r="O51" s="104"/>
      <c r="P51" s="104"/>
      <c r="Q51" s="104"/>
      <c r="R51" s="104"/>
      <c r="S51" s="104"/>
      <c r="T51" s="104"/>
      <c r="U51" s="104"/>
      <c r="V51" s="105"/>
      <c r="W51" s="106"/>
      <c r="X51" s="107"/>
    </row>
    <row r="52" spans="1:24" s="102" customFormat="1" ht="12.75">
      <c r="B52" s="108" t="s">
        <v>27</v>
      </c>
      <c r="C52" s="109">
        <v>0</v>
      </c>
      <c r="D52" s="110">
        <v>1</v>
      </c>
      <c r="E52" s="110">
        <v>2</v>
      </c>
      <c r="F52" s="110">
        <v>3</v>
      </c>
      <c r="G52" s="110">
        <v>4</v>
      </c>
      <c r="H52" s="110">
        <v>5</v>
      </c>
      <c r="I52" s="110">
        <v>6</v>
      </c>
      <c r="J52" s="110">
        <v>7</v>
      </c>
      <c r="K52" s="110">
        <v>8</v>
      </c>
      <c r="L52" s="110">
        <v>9</v>
      </c>
      <c r="M52" s="110">
        <v>10</v>
      </c>
      <c r="N52" s="110">
        <v>11</v>
      </c>
      <c r="O52" s="110">
        <v>12</v>
      </c>
      <c r="P52" s="110">
        <v>13</v>
      </c>
      <c r="Q52" s="110">
        <v>14</v>
      </c>
      <c r="R52" s="110">
        <v>15</v>
      </c>
      <c r="S52" s="110">
        <v>16</v>
      </c>
      <c r="T52" s="110">
        <v>17</v>
      </c>
      <c r="U52" s="110">
        <v>18</v>
      </c>
      <c r="V52" s="110">
        <v>19</v>
      </c>
      <c r="W52" s="111">
        <v>20</v>
      </c>
      <c r="X52" s="107"/>
    </row>
    <row r="53" spans="1:24" s="102" customFormat="1" ht="12.75">
      <c r="B53" s="108" t="s">
        <v>28</v>
      </c>
      <c r="C53" s="112">
        <f>-SUM(C13:H13)</f>
        <v>-4283615.4793004859</v>
      </c>
      <c r="D53" s="113"/>
      <c r="E53" s="113"/>
      <c r="F53" s="113"/>
      <c r="G53" s="113"/>
      <c r="H53" s="113"/>
      <c r="I53" s="113"/>
      <c r="J53" s="113"/>
      <c r="K53" s="113"/>
      <c r="L53" s="113"/>
      <c r="M53" s="113"/>
      <c r="N53" s="113"/>
      <c r="O53" s="113"/>
      <c r="P53" s="113"/>
      <c r="Q53" s="113"/>
      <c r="R53" s="113"/>
      <c r="S53" s="113"/>
      <c r="T53" s="113"/>
      <c r="U53" s="113"/>
      <c r="V53" s="113"/>
      <c r="W53" s="114"/>
      <c r="X53" s="107"/>
    </row>
    <row r="54" spans="1:24" s="102" customFormat="1" ht="12.75">
      <c r="B54" s="108" t="s">
        <v>29</v>
      </c>
      <c r="D54" s="115">
        <f>C11-SUM(C14:C18)</f>
        <v>-3165307.526296678</v>
      </c>
      <c r="E54" s="115">
        <f>D11-SUM(D14:D18)</f>
        <v>-3011533.9817511551</v>
      </c>
      <c r="F54" s="115">
        <f>E11-SUM(E14:E18)</f>
        <v>-1319782.9236756861</v>
      </c>
      <c r="G54" s="115">
        <f>F11-SUM(F14:F18)</f>
        <v>5675507.4369233549</v>
      </c>
      <c r="H54" s="115">
        <f>G11-SUM(G14:G18)</f>
        <v>7094384.2961541899</v>
      </c>
      <c r="I54" s="115">
        <f t="shared" ref="I54:W54" si="6">H11</f>
        <v>35918172.88932807</v>
      </c>
      <c r="J54" s="115">
        <f t="shared" si="6"/>
        <v>35918172.88932807</v>
      </c>
      <c r="K54" s="115">
        <f t="shared" si="6"/>
        <v>35918172.88932807</v>
      </c>
      <c r="L54" s="115">
        <f t="shared" si="6"/>
        <v>35918172.88932807</v>
      </c>
      <c r="M54" s="115">
        <f t="shared" si="6"/>
        <v>35918172.88932807</v>
      </c>
      <c r="N54" s="115">
        <f t="shared" si="6"/>
        <v>35918172.88932807</v>
      </c>
      <c r="O54" s="115">
        <f t="shared" si="6"/>
        <v>35918172.88932807</v>
      </c>
      <c r="P54" s="115">
        <f t="shared" si="6"/>
        <v>35918172.88932807</v>
      </c>
      <c r="Q54" s="115">
        <f t="shared" si="6"/>
        <v>35918172.88932807</v>
      </c>
      <c r="R54" s="115">
        <f t="shared" si="6"/>
        <v>35918172.88932807</v>
      </c>
      <c r="S54" s="115">
        <f t="shared" si="6"/>
        <v>35918172.88932807</v>
      </c>
      <c r="T54" s="115">
        <f t="shared" si="6"/>
        <v>35918172.88932807</v>
      </c>
      <c r="U54" s="115">
        <f t="shared" si="6"/>
        <v>35918172.88932807</v>
      </c>
      <c r="V54" s="115">
        <f t="shared" si="6"/>
        <v>35918172.88932807</v>
      </c>
      <c r="W54" s="116">
        <f t="shared" si="6"/>
        <v>35918172.88932807</v>
      </c>
      <c r="X54" s="107"/>
    </row>
    <row r="55" spans="1:24" s="102" customFormat="1" ht="13.5" thickBot="1">
      <c r="B55" s="108" t="s">
        <v>30</v>
      </c>
      <c r="C55" s="117">
        <f>C53</f>
        <v>-4283615.4793004859</v>
      </c>
      <c r="D55" s="118">
        <f>D54+C55</f>
        <v>-7448923.0055971639</v>
      </c>
      <c r="E55" s="118">
        <f>E54+D55</f>
        <v>-10460456.987348318</v>
      </c>
      <c r="F55" s="118">
        <f>F54+E55</f>
        <v>-11780239.911024004</v>
      </c>
      <c r="G55" s="118">
        <f t="shared" ref="G55:W55" si="7">G54+F55</f>
        <v>-6104732.4741006494</v>
      </c>
      <c r="H55" s="118">
        <f t="shared" si="7"/>
        <v>989651.8220535405</v>
      </c>
      <c r="I55" s="118">
        <f t="shared" si="7"/>
        <v>36907824.711381614</v>
      </c>
      <c r="J55" s="118">
        <f t="shared" si="7"/>
        <v>72825997.600709677</v>
      </c>
      <c r="K55" s="118">
        <f t="shared" si="7"/>
        <v>108744170.49003774</v>
      </c>
      <c r="L55" s="118">
        <f t="shared" si="7"/>
        <v>144662343.3793658</v>
      </c>
      <c r="M55" s="118">
        <f t="shared" si="7"/>
        <v>180580516.26869386</v>
      </c>
      <c r="N55" s="118">
        <f t="shared" si="7"/>
        <v>216498689.15802193</v>
      </c>
      <c r="O55" s="118">
        <f t="shared" si="7"/>
        <v>252416862.04734999</v>
      </c>
      <c r="P55" s="118">
        <f t="shared" si="7"/>
        <v>288335034.93667805</v>
      </c>
      <c r="Q55" s="118">
        <f t="shared" si="7"/>
        <v>324253207.82600611</v>
      </c>
      <c r="R55" s="118">
        <f t="shared" si="7"/>
        <v>360171380.71533418</v>
      </c>
      <c r="S55" s="118">
        <f t="shared" si="7"/>
        <v>396089553.60466224</v>
      </c>
      <c r="T55" s="118">
        <f t="shared" si="7"/>
        <v>432007726.4939903</v>
      </c>
      <c r="U55" s="118">
        <f t="shared" si="7"/>
        <v>467925899.38331836</v>
      </c>
      <c r="V55" s="118">
        <f t="shared" si="7"/>
        <v>503844072.27264643</v>
      </c>
      <c r="W55" s="119">
        <f t="shared" si="7"/>
        <v>539762245.16197455</v>
      </c>
      <c r="X55" s="107"/>
    </row>
    <row r="56" spans="1:24" s="128" customFormat="1" ht="14.25">
      <c r="A56" s="120"/>
      <c r="B56" s="121"/>
      <c r="C56" s="122"/>
      <c r="D56" s="123"/>
      <c r="E56" s="124"/>
      <c r="F56" s="124"/>
      <c r="G56" s="124"/>
      <c r="H56" s="124"/>
      <c r="I56" s="124"/>
      <c r="J56" s="124"/>
      <c r="K56" s="124"/>
      <c r="L56" s="124"/>
      <c r="M56" s="124"/>
      <c r="N56" s="124"/>
      <c r="O56" s="124"/>
      <c r="P56" s="124"/>
      <c r="Q56" s="124"/>
      <c r="R56" s="124"/>
      <c r="S56" s="124"/>
      <c r="T56" s="124"/>
      <c r="U56" s="124"/>
      <c r="V56" s="125"/>
      <c r="W56" s="126"/>
      <c r="X56" s="127"/>
    </row>
    <row r="57" spans="1:24" s="128" customFormat="1" thickBot="1">
      <c r="B57" s="129" t="s">
        <v>31</v>
      </c>
      <c r="C57" s="130">
        <f>5+-H55/I54</f>
        <v>4.9724470444222515</v>
      </c>
      <c r="D57" s="127"/>
      <c r="V57" s="121"/>
      <c r="W57" s="126"/>
      <c r="X57" s="127"/>
    </row>
  </sheetData>
  <mergeCells count="7">
    <mergeCell ref="A45:B45"/>
    <mergeCell ref="A1:W1"/>
    <mergeCell ref="A28:B28"/>
    <mergeCell ref="A30:B30"/>
    <mergeCell ref="A36:B36"/>
    <mergeCell ref="A38:B38"/>
    <mergeCell ref="A43:B43"/>
  </mergeCells>
  <pageMargins left="0.7" right="0.7" top="0.75" bottom="0.75" header="0.3" footer="0.3"/>
</worksheet>
</file>

<file path=xl/worksheets/sheet16.xml><?xml version="1.0" encoding="utf-8"?>
<worksheet xmlns="http://schemas.openxmlformats.org/spreadsheetml/2006/main" xmlns:r="http://schemas.openxmlformats.org/officeDocument/2006/relationships">
  <dimension ref="A1:X66"/>
  <sheetViews>
    <sheetView showGridLines="0" zoomScale="70" zoomScaleNormal="70" workbookViewId="0">
      <selection sqref="A1:XFD1048576"/>
    </sheetView>
  </sheetViews>
  <sheetFormatPr defaultColWidth="9" defaultRowHeight="15"/>
  <cols>
    <col min="1" max="1" width="76.140625" style="98" customWidth="1"/>
    <col min="2" max="2" width="17.28515625" style="98" customWidth="1"/>
    <col min="3" max="3" width="16.7109375" style="98" bestFit="1" customWidth="1"/>
    <col min="4" max="4" width="16.42578125" style="98" bestFit="1" customWidth="1"/>
    <col min="5" max="21" width="15.85546875" style="98" customWidth="1"/>
    <col min="22" max="22" width="15.85546875" style="99" customWidth="1"/>
    <col min="23" max="23" width="15.85546875" style="100" customWidth="1"/>
    <col min="24" max="24" width="9" style="101"/>
    <col min="25" max="16384" width="9" style="98"/>
  </cols>
  <sheetData>
    <row r="1" spans="1:24" s="18" customFormat="1" ht="15.75" thickBot="1">
      <c r="A1" s="131" t="s">
        <v>32</v>
      </c>
      <c r="B1" s="132"/>
      <c r="C1" s="132"/>
      <c r="D1" s="132"/>
      <c r="E1" s="132"/>
      <c r="F1" s="132"/>
      <c r="G1" s="132"/>
      <c r="H1" s="132"/>
      <c r="I1" s="132"/>
      <c r="J1" s="132"/>
      <c r="K1" s="132"/>
      <c r="L1" s="132"/>
      <c r="M1" s="132"/>
      <c r="N1" s="132"/>
      <c r="O1" s="132"/>
      <c r="P1" s="132"/>
      <c r="Q1" s="132"/>
      <c r="R1" s="132"/>
      <c r="S1" s="132"/>
      <c r="T1" s="132"/>
      <c r="U1" s="132"/>
      <c r="V1" s="132"/>
      <c r="W1" s="133"/>
      <c r="X1" s="17"/>
    </row>
    <row r="2" spans="1:24" s="18" customFormat="1" ht="14.25">
      <c r="A2" s="19"/>
      <c r="B2" s="20" t="s">
        <v>12</v>
      </c>
      <c r="C2" s="20"/>
      <c r="D2" s="20"/>
      <c r="E2" s="20"/>
      <c r="F2" s="20"/>
      <c r="G2" s="20"/>
      <c r="H2" s="20"/>
      <c r="I2" s="20"/>
      <c r="J2" s="20"/>
      <c r="K2" s="20"/>
      <c r="L2" s="20"/>
      <c r="M2" s="20"/>
      <c r="N2" s="20"/>
      <c r="O2" s="20"/>
      <c r="P2" s="20"/>
      <c r="Q2" s="20"/>
      <c r="R2" s="20"/>
      <c r="S2" s="20"/>
      <c r="T2" s="20"/>
      <c r="U2" s="20"/>
      <c r="V2" s="21"/>
      <c r="W2" s="22"/>
      <c r="X2" s="17"/>
    </row>
    <row r="3" spans="1:24" s="18" customFormat="1" ht="14.25">
      <c r="A3" s="23"/>
      <c r="B3" s="24"/>
      <c r="C3" s="25">
        <v>2023</v>
      </c>
      <c r="D3" s="25">
        <v>2024</v>
      </c>
      <c r="E3" s="25">
        <v>2025</v>
      </c>
      <c r="F3" s="25">
        <v>2026</v>
      </c>
      <c r="G3" s="25">
        <v>2027</v>
      </c>
      <c r="H3" s="25">
        <v>2028</v>
      </c>
      <c r="I3" s="25">
        <v>2029</v>
      </c>
      <c r="J3" s="25">
        <v>2030</v>
      </c>
      <c r="K3" s="25">
        <v>2031</v>
      </c>
      <c r="L3" s="25">
        <v>2032</v>
      </c>
      <c r="M3" s="25">
        <v>2033</v>
      </c>
      <c r="N3" s="25">
        <v>2034</v>
      </c>
      <c r="O3" s="25">
        <v>2035</v>
      </c>
      <c r="P3" s="25">
        <v>2036</v>
      </c>
      <c r="Q3" s="25">
        <v>2037</v>
      </c>
      <c r="R3" s="25">
        <v>2038</v>
      </c>
      <c r="S3" s="25">
        <v>2039</v>
      </c>
      <c r="T3" s="25">
        <v>2040</v>
      </c>
      <c r="U3" s="25">
        <v>2041</v>
      </c>
      <c r="V3" s="26">
        <v>2042</v>
      </c>
      <c r="W3" s="27"/>
      <c r="X3" s="17"/>
    </row>
    <row r="4" spans="1:24" s="18" customFormat="1" ht="14.25">
      <c r="A4" s="28" t="s">
        <v>33</v>
      </c>
      <c r="B4" s="29"/>
      <c r="C4" s="30"/>
      <c r="D4" s="30"/>
      <c r="E4" s="30"/>
      <c r="F4" s="30"/>
      <c r="G4" s="30"/>
      <c r="H4" s="30"/>
      <c r="I4" s="30"/>
      <c r="J4" s="31"/>
      <c r="K4" s="32"/>
      <c r="L4" s="32"/>
      <c r="M4" s="32"/>
      <c r="N4" s="32"/>
      <c r="O4" s="32"/>
      <c r="P4" s="32"/>
      <c r="Q4" s="32"/>
      <c r="R4" s="32"/>
      <c r="S4" s="32"/>
      <c r="T4" s="32"/>
      <c r="U4" s="32"/>
      <c r="V4" s="33"/>
      <c r="W4" s="34"/>
      <c r="X4" s="17"/>
    </row>
    <row r="5" spans="1:24" s="18" customFormat="1" ht="14.25">
      <c r="A5" s="28" t="s">
        <v>13</v>
      </c>
      <c r="B5" s="35" t="s">
        <v>1</v>
      </c>
      <c r="C5" s="36">
        <v>532980</v>
      </c>
      <c r="D5" s="36">
        <v>1927800</v>
      </c>
      <c r="E5" s="36">
        <v>2891700</v>
      </c>
      <c r="F5" s="36">
        <v>5579280</v>
      </c>
      <c r="G5" s="36">
        <v>6974100</v>
      </c>
      <c r="H5" s="36">
        <v>6974100</v>
      </c>
      <c r="I5" s="36">
        <v>6974100</v>
      </c>
      <c r="J5" s="36">
        <v>6974100</v>
      </c>
      <c r="K5" s="36">
        <v>6974100</v>
      </c>
      <c r="L5" s="36">
        <v>6974100</v>
      </c>
      <c r="M5" s="36">
        <v>6974100</v>
      </c>
      <c r="N5" s="36">
        <v>6974100</v>
      </c>
      <c r="O5" s="36">
        <v>6974100</v>
      </c>
      <c r="P5" s="36">
        <v>6974100</v>
      </c>
      <c r="Q5" s="36">
        <v>6974100</v>
      </c>
      <c r="R5" s="36">
        <v>6974100</v>
      </c>
      <c r="S5" s="36">
        <v>6974100</v>
      </c>
      <c r="T5" s="36">
        <v>6974100</v>
      </c>
      <c r="U5" s="36">
        <v>6974100</v>
      </c>
      <c r="V5" s="36">
        <v>6974100</v>
      </c>
      <c r="W5" s="5"/>
      <c r="X5" s="17"/>
    </row>
    <row r="6" spans="1:24" s="18" customFormat="1" ht="14.25">
      <c r="A6" s="38" t="s">
        <v>14</v>
      </c>
      <c r="B6" s="35" t="s">
        <v>1</v>
      </c>
      <c r="C6" s="36">
        <v>135270</v>
      </c>
      <c r="D6" s="36">
        <v>424440</v>
      </c>
      <c r="E6" s="36">
        <v>1790910</v>
      </c>
      <c r="F6" s="36">
        <v>3003480</v>
      </c>
      <c r="G6" s="36">
        <v>3754350</v>
      </c>
      <c r="H6" s="36">
        <v>3754350</v>
      </c>
      <c r="I6" s="36">
        <v>3754350</v>
      </c>
      <c r="J6" s="36">
        <v>3754350</v>
      </c>
      <c r="K6" s="36">
        <v>3754350</v>
      </c>
      <c r="L6" s="36">
        <v>3754350</v>
      </c>
      <c r="M6" s="36">
        <v>3754350</v>
      </c>
      <c r="N6" s="36">
        <v>3754350</v>
      </c>
      <c r="O6" s="36">
        <v>3754350</v>
      </c>
      <c r="P6" s="36">
        <v>3754350</v>
      </c>
      <c r="Q6" s="36">
        <v>3754350</v>
      </c>
      <c r="R6" s="36">
        <v>3754350</v>
      </c>
      <c r="S6" s="36">
        <v>3754350</v>
      </c>
      <c r="T6" s="36">
        <v>3754350</v>
      </c>
      <c r="U6" s="36">
        <v>3754350</v>
      </c>
      <c r="V6" s="36">
        <v>3754350</v>
      </c>
      <c r="W6" s="5"/>
      <c r="X6" s="17"/>
    </row>
    <row r="7" spans="1:24" s="18" customFormat="1" ht="14.25">
      <c r="A7" s="38" t="s">
        <v>15</v>
      </c>
      <c r="B7" s="35" t="s">
        <v>1</v>
      </c>
      <c r="C7" s="36">
        <v>181440</v>
      </c>
      <c r="D7" s="36">
        <v>855360</v>
      </c>
      <c r="E7" s="36">
        <v>1652400</v>
      </c>
      <c r="F7" s="36">
        <v>3680640</v>
      </c>
      <c r="G7" s="36">
        <v>4600800</v>
      </c>
      <c r="H7" s="36">
        <v>4600800</v>
      </c>
      <c r="I7" s="36">
        <v>4600800</v>
      </c>
      <c r="J7" s="36">
        <v>4600800</v>
      </c>
      <c r="K7" s="36">
        <v>4600800</v>
      </c>
      <c r="L7" s="36">
        <v>4600800</v>
      </c>
      <c r="M7" s="36">
        <v>4600800</v>
      </c>
      <c r="N7" s="36">
        <v>4600800</v>
      </c>
      <c r="O7" s="36">
        <v>4600800</v>
      </c>
      <c r="P7" s="36">
        <v>4600800</v>
      </c>
      <c r="Q7" s="36">
        <v>4600800</v>
      </c>
      <c r="R7" s="36">
        <v>4600800</v>
      </c>
      <c r="S7" s="36">
        <v>4600800</v>
      </c>
      <c r="T7" s="36">
        <v>4600800</v>
      </c>
      <c r="U7" s="36">
        <v>4600800</v>
      </c>
      <c r="V7" s="36">
        <v>4600800</v>
      </c>
      <c r="W7" s="5"/>
      <c r="X7" s="17"/>
    </row>
    <row r="8" spans="1:24" s="18" customFormat="1" ht="14.25">
      <c r="A8" s="39" t="s">
        <v>16</v>
      </c>
      <c r="B8" s="40" t="s">
        <v>1</v>
      </c>
      <c r="C8" s="36">
        <v>155520</v>
      </c>
      <c r="D8" s="36">
        <v>1542240</v>
      </c>
      <c r="E8" s="36">
        <v>3236760</v>
      </c>
      <c r="F8" s="36">
        <v>5546880</v>
      </c>
      <c r="G8" s="36">
        <v>6933600</v>
      </c>
      <c r="H8" s="36">
        <v>6933600</v>
      </c>
      <c r="I8" s="36">
        <v>6933600</v>
      </c>
      <c r="J8" s="36">
        <v>6933600</v>
      </c>
      <c r="K8" s="36">
        <v>6933600</v>
      </c>
      <c r="L8" s="36">
        <v>6933600</v>
      </c>
      <c r="M8" s="36">
        <v>6933600</v>
      </c>
      <c r="N8" s="36">
        <v>6933600</v>
      </c>
      <c r="O8" s="36">
        <v>6933600</v>
      </c>
      <c r="P8" s="36">
        <v>6933600</v>
      </c>
      <c r="Q8" s="36">
        <v>6933600</v>
      </c>
      <c r="R8" s="36">
        <v>6933600</v>
      </c>
      <c r="S8" s="36">
        <v>6933600</v>
      </c>
      <c r="T8" s="36">
        <v>6933600</v>
      </c>
      <c r="U8" s="36">
        <v>6933600</v>
      </c>
      <c r="V8" s="36">
        <v>6933600</v>
      </c>
      <c r="W8" s="5"/>
      <c r="X8" s="17"/>
    </row>
    <row r="9" spans="1:24" s="18" customFormat="1" ht="14.25">
      <c r="A9" s="39" t="s">
        <v>17</v>
      </c>
      <c r="B9" s="40" t="s">
        <v>1</v>
      </c>
      <c r="C9" s="36">
        <v>1647135</v>
      </c>
      <c r="D9" s="36">
        <v>3889619.9999999986</v>
      </c>
      <c r="E9" s="36">
        <v>6727454.9999999981</v>
      </c>
      <c r="F9" s="36">
        <v>11351340</v>
      </c>
      <c r="G9" s="36">
        <v>14189175</v>
      </c>
      <c r="H9" s="36">
        <v>14189175</v>
      </c>
      <c r="I9" s="36">
        <v>14189175</v>
      </c>
      <c r="J9" s="36">
        <v>14189175</v>
      </c>
      <c r="K9" s="36">
        <v>14189175</v>
      </c>
      <c r="L9" s="36">
        <v>14189175</v>
      </c>
      <c r="M9" s="36">
        <v>14189175</v>
      </c>
      <c r="N9" s="36">
        <v>14189175</v>
      </c>
      <c r="O9" s="36">
        <v>14189175</v>
      </c>
      <c r="P9" s="36">
        <v>14189175</v>
      </c>
      <c r="Q9" s="36">
        <v>14189175</v>
      </c>
      <c r="R9" s="36">
        <v>14189175</v>
      </c>
      <c r="S9" s="36">
        <v>14189175</v>
      </c>
      <c r="T9" s="36">
        <v>14189175</v>
      </c>
      <c r="U9" s="36">
        <v>14189175</v>
      </c>
      <c r="V9" s="36">
        <v>14189175</v>
      </c>
      <c r="W9" s="5"/>
      <c r="X9" s="17"/>
    </row>
    <row r="10" spans="1:24" s="18" customFormat="1" thickBot="1">
      <c r="A10" s="434" t="s">
        <v>45</v>
      </c>
      <c r="B10" s="42" t="s">
        <v>1</v>
      </c>
      <c r="C10" s="36">
        <v>14126.400000000001</v>
      </c>
      <c r="D10" s="36">
        <v>28252.800000000003</v>
      </c>
      <c r="E10" s="36">
        <v>42379.200000000004</v>
      </c>
      <c r="F10" s="36">
        <v>56505.600000000006</v>
      </c>
      <c r="G10" s="36">
        <v>70632</v>
      </c>
      <c r="H10" s="36">
        <v>70632</v>
      </c>
      <c r="I10" s="36">
        <v>70632</v>
      </c>
      <c r="J10" s="36">
        <v>70632</v>
      </c>
      <c r="K10" s="36">
        <v>70632</v>
      </c>
      <c r="L10" s="36">
        <v>70632</v>
      </c>
      <c r="M10" s="36">
        <v>70632</v>
      </c>
      <c r="N10" s="36">
        <v>70632</v>
      </c>
      <c r="O10" s="36">
        <v>70632</v>
      </c>
      <c r="P10" s="36">
        <v>70632</v>
      </c>
      <c r="Q10" s="36">
        <v>70632</v>
      </c>
      <c r="R10" s="36">
        <v>70632</v>
      </c>
      <c r="S10" s="36">
        <v>70632</v>
      </c>
      <c r="T10" s="36">
        <v>70632</v>
      </c>
      <c r="U10" s="36">
        <v>70632</v>
      </c>
      <c r="V10" s="36">
        <v>70632</v>
      </c>
      <c r="W10" s="5"/>
      <c r="X10" s="17"/>
    </row>
    <row r="11" spans="1:24" s="48" customFormat="1" thickBot="1">
      <c r="A11" s="43" t="s">
        <v>19</v>
      </c>
      <c r="B11" s="44" t="s">
        <v>1</v>
      </c>
      <c r="C11" s="45">
        <v>2666471.4</v>
      </c>
      <c r="D11" s="45">
        <v>8667712.7999999989</v>
      </c>
      <c r="E11" s="45">
        <v>16341604.199999997</v>
      </c>
      <c r="F11" s="45">
        <v>29218125.600000001</v>
      </c>
      <c r="G11" s="45">
        <v>36522657</v>
      </c>
      <c r="H11" s="45">
        <v>36522657</v>
      </c>
      <c r="I11" s="45">
        <v>36522657</v>
      </c>
      <c r="J11" s="45">
        <v>36522657</v>
      </c>
      <c r="K11" s="45">
        <v>36522657</v>
      </c>
      <c r="L11" s="45">
        <v>36522657</v>
      </c>
      <c r="M11" s="45">
        <v>36522657</v>
      </c>
      <c r="N11" s="45">
        <v>36522657</v>
      </c>
      <c r="O11" s="45">
        <v>36522657</v>
      </c>
      <c r="P11" s="45">
        <v>36522657</v>
      </c>
      <c r="Q11" s="45">
        <v>36522657</v>
      </c>
      <c r="R11" s="45">
        <v>36522657</v>
      </c>
      <c r="S11" s="45">
        <v>36522657</v>
      </c>
      <c r="T11" s="45">
        <v>36522657</v>
      </c>
      <c r="U11" s="45">
        <v>36522657</v>
      </c>
      <c r="V11" s="46">
        <v>36522657</v>
      </c>
      <c r="W11" s="14"/>
      <c r="X11" s="47"/>
    </row>
    <row r="12" spans="1:24" s="18" customFormat="1" ht="14.25">
      <c r="A12" s="49" t="s">
        <v>3</v>
      </c>
      <c r="B12" s="50"/>
      <c r="C12" s="36"/>
      <c r="D12" s="36"/>
      <c r="E12" s="36"/>
      <c r="F12" s="36"/>
      <c r="G12" s="36"/>
      <c r="H12" s="36"/>
      <c r="I12" s="36"/>
      <c r="J12" s="36"/>
      <c r="K12" s="36"/>
      <c r="L12" s="36"/>
      <c r="M12" s="36"/>
      <c r="N12" s="36"/>
      <c r="O12" s="36"/>
      <c r="P12" s="36"/>
      <c r="Q12" s="36"/>
      <c r="R12" s="36"/>
      <c r="S12" s="36"/>
      <c r="T12" s="36"/>
      <c r="U12" s="36"/>
      <c r="V12" s="37"/>
      <c r="W12" s="5"/>
      <c r="X12" s="17"/>
    </row>
    <row r="13" spans="1:24" s="18" customFormat="1" ht="14.25">
      <c r="A13" s="41" t="s">
        <v>35</v>
      </c>
      <c r="B13" s="35" t="s">
        <v>1</v>
      </c>
      <c r="C13" s="36">
        <v>856723.09586009721</v>
      </c>
      <c r="D13" s="36">
        <v>856723.09586009721</v>
      </c>
      <c r="E13" s="36">
        <v>856723.09586009721</v>
      </c>
      <c r="F13" s="36">
        <v>856723.09586009721</v>
      </c>
      <c r="G13" s="36">
        <v>856723.09586009721</v>
      </c>
      <c r="H13" s="36"/>
      <c r="I13" s="36"/>
      <c r="J13" s="36"/>
      <c r="K13" s="36"/>
      <c r="L13" s="36"/>
      <c r="M13" s="36"/>
      <c r="N13" s="36"/>
      <c r="O13" s="36"/>
      <c r="P13" s="36"/>
      <c r="Q13" s="36"/>
      <c r="R13" s="36"/>
      <c r="S13" s="36"/>
      <c r="T13" s="36"/>
      <c r="U13" s="36"/>
      <c r="V13" s="37"/>
      <c r="W13" s="5"/>
      <c r="X13" s="17"/>
    </row>
    <row r="14" spans="1:24" s="18" customFormat="1" ht="14.25">
      <c r="A14" s="51" t="s">
        <v>13</v>
      </c>
      <c r="B14" s="35" t="s">
        <v>1</v>
      </c>
      <c r="C14" s="36">
        <v>1237761</v>
      </c>
      <c r="D14" s="36">
        <v>2475522</v>
      </c>
      <c r="E14" s="36">
        <v>3713283</v>
      </c>
      <c r="F14" s="36">
        <v>4951044</v>
      </c>
      <c r="G14" s="36">
        <v>6188805</v>
      </c>
      <c r="H14" s="36">
        <v>6188805</v>
      </c>
      <c r="I14" s="36">
        <v>6188805</v>
      </c>
      <c r="J14" s="36">
        <v>6188805</v>
      </c>
      <c r="K14" s="36">
        <v>6188805</v>
      </c>
      <c r="L14" s="36">
        <v>6188805</v>
      </c>
      <c r="M14" s="36">
        <v>6188805</v>
      </c>
      <c r="N14" s="36">
        <v>6188805</v>
      </c>
      <c r="O14" s="36">
        <v>6188805</v>
      </c>
      <c r="P14" s="36">
        <v>6188805</v>
      </c>
      <c r="Q14" s="36">
        <v>6188805</v>
      </c>
      <c r="R14" s="36">
        <v>6188805</v>
      </c>
      <c r="S14" s="36">
        <v>6188805</v>
      </c>
      <c r="T14" s="36">
        <v>6188805</v>
      </c>
      <c r="U14" s="36">
        <v>6188805</v>
      </c>
      <c r="V14" s="36">
        <v>6188805</v>
      </c>
      <c r="W14" s="5"/>
      <c r="X14" s="17"/>
    </row>
    <row r="15" spans="1:24" s="48" customFormat="1" ht="14.25">
      <c r="A15" s="38" t="s">
        <v>14</v>
      </c>
      <c r="B15" s="35" t="s">
        <v>1</v>
      </c>
      <c r="C15" s="36">
        <v>570240</v>
      </c>
      <c r="D15" s="36">
        <v>1140480</v>
      </c>
      <c r="E15" s="36">
        <v>1710720</v>
      </c>
      <c r="F15" s="36">
        <v>2280960</v>
      </c>
      <c r="G15" s="36">
        <v>2851200</v>
      </c>
      <c r="H15" s="36">
        <v>2851200</v>
      </c>
      <c r="I15" s="36">
        <v>2851200</v>
      </c>
      <c r="J15" s="36">
        <v>2851200</v>
      </c>
      <c r="K15" s="36">
        <v>2851200</v>
      </c>
      <c r="L15" s="36">
        <v>2851200</v>
      </c>
      <c r="M15" s="36">
        <v>2851200</v>
      </c>
      <c r="N15" s="36">
        <v>2851200</v>
      </c>
      <c r="O15" s="36">
        <v>2851200</v>
      </c>
      <c r="P15" s="36">
        <v>2851200</v>
      </c>
      <c r="Q15" s="36">
        <v>2851200</v>
      </c>
      <c r="R15" s="36">
        <v>2851200</v>
      </c>
      <c r="S15" s="36">
        <v>2851200</v>
      </c>
      <c r="T15" s="36">
        <v>2851200</v>
      </c>
      <c r="U15" s="36">
        <v>2851200</v>
      </c>
      <c r="V15" s="36">
        <v>2851200</v>
      </c>
      <c r="W15" s="5"/>
      <c r="X15" s="47"/>
    </row>
    <row r="16" spans="1:24" s="48" customFormat="1" ht="14.25">
      <c r="A16" s="38" t="s">
        <v>15</v>
      </c>
      <c r="B16" s="35" t="s">
        <v>1</v>
      </c>
      <c r="C16" s="36">
        <v>715311</v>
      </c>
      <c r="D16" s="36">
        <v>1430622</v>
      </c>
      <c r="E16" s="36">
        <v>2145933</v>
      </c>
      <c r="F16" s="36">
        <v>2861244</v>
      </c>
      <c r="G16" s="36">
        <v>3576555</v>
      </c>
      <c r="H16" s="36">
        <v>3576555</v>
      </c>
      <c r="I16" s="36">
        <v>3576555</v>
      </c>
      <c r="J16" s="36">
        <v>3576555</v>
      </c>
      <c r="K16" s="36">
        <v>3576555</v>
      </c>
      <c r="L16" s="36">
        <v>3576555</v>
      </c>
      <c r="M16" s="36">
        <v>3576555</v>
      </c>
      <c r="N16" s="36">
        <v>3576555</v>
      </c>
      <c r="O16" s="36">
        <v>3576555</v>
      </c>
      <c r="P16" s="36">
        <v>3576555</v>
      </c>
      <c r="Q16" s="36">
        <v>3576555</v>
      </c>
      <c r="R16" s="36">
        <v>3576555</v>
      </c>
      <c r="S16" s="36">
        <v>3576555</v>
      </c>
      <c r="T16" s="36">
        <v>3576555</v>
      </c>
      <c r="U16" s="36">
        <v>3576555</v>
      </c>
      <c r="V16" s="36">
        <v>3576555</v>
      </c>
      <c r="W16" s="5"/>
      <c r="X16" s="47"/>
    </row>
    <row r="17" spans="1:24" s="48" customFormat="1" ht="14.25">
      <c r="A17" s="39" t="s">
        <v>16</v>
      </c>
      <c r="B17" s="40" t="s">
        <v>1</v>
      </c>
      <c r="C17" s="36">
        <v>1117800</v>
      </c>
      <c r="D17" s="36">
        <v>2235600</v>
      </c>
      <c r="E17" s="36">
        <v>3353400</v>
      </c>
      <c r="F17" s="36">
        <v>4471200</v>
      </c>
      <c r="G17" s="36">
        <v>5589000</v>
      </c>
      <c r="H17" s="36">
        <v>5589000</v>
      </c>
      <c r="I17" s="36">
        <v>5589000</v>
      </c>
      <c r="J17" s="36">
        <v>5589000</v>
      </c>
      <c r="K17" s="36">
        <v>5589000</v>
      </c>
      <c r="L17" s="36">
        <v>5589000</v>
      </c>
      <c r="M17" s="36">
        <v>5589000</v>
      </c>
      <c r="N17" s="36">
        <v>5589000</v>
      </c>
      <c r="O17" s="36">
        <v>5589000</v>
      </c>
      <c r="P17" s="36">
        <v>5589000</v>
      </c>
      <c r="Q17" s="36">
        <v>5589000</v>
      </c>
      <c r="R17" s="36">
        <v>5589000</v>
      </c>
      <c r="S17" s="36">
        <v>5589000</v>
      </c>
      <c r="T17" s="36">
        <v>5589000</v>
      </c>
      <c r="U17" s="36">
        <v>5589000</v>
      </c>
      <c r="V17" s="36">
        <v>5589000</v>
      </c>
      <c r="W17" s="5"/>
      <c r="X17" s="47"/>
    </row>
    <row r="18" spans="1:24" s="18" customFormat="1" thickBot="1">
      <c r="A18" s="39" t="s">
        <v>17</v>
      </c>
      <c r="B18" s="40" t="s">
        <v>1</v>
      </c>
      <c r="C18" s="36">
        <v>2574605.25</v>
      </c>
      <c r="D18" s="36">
        <v>5149210.5</v>
      </c>
      <c r="E18" s="36">
        <v>7723815.75</v>
      </c>
      <c r="F18" s="36">
        <v>10298421</v>
      </c>
      <c r="G18" s="36">
        <v>12873026.25</v>
      </c>
      <c r="H18" s="36">
        <v>12873026.25</v>
      </c>
      <c r="I18" s="36">
        <v>12873026.25</v>
      </c>
      <c r="J18" s="36">
        <v>12873026.25</v>
      </c>
      <c r="K18" s="36">
        <v>12873026.25</v>
      </c>
      <c r="L18" s="36">
        <v>12873026.25</v>
      </c>
      <c r="M18" s="36">
        <v>12873026.25</v>
      </c>
      <c r="N18" s="36">
        <v>12873026.25</v>
      </c>
      <c r="O18" s="36">
        <v>12873026.25</v>
      </c>
      <c r="P18" s="36">
        <v>12873026.25</v>
      </c>
      <c r="Q18" s="36">
        <v>12873026.25</v>
      </c>
      <c r="R18" s="36">
        <v>12873026.25</v>
      </c>
      <c r="S18" s="36">
        <v>12873026.25</v>
      </c>
      <c r="T18" s="36">
        <v>12873026.25</v>
      </c>
      <c r="U18" s="36">
        <v>12873026.25</v>
      </c>
      <c r="V18" s="36">
        <v>12873026.25</v>
      </c>
      <c r="W18" s="5"/>
      <c r="X18" s="17"/>
    </row>
    <row r="19" spans="1:24" s="48" customFormat="1" thickBot="1">
      <c r="A19" s="52" t="s">
        <v>21</v>
      </c>
      <c r="B19" s="44" t="s">
        <v>1</v>
      </c>
      <c r="C19" s="45">
        <v>7072440.3458600976</v>
      </c>
      <c r="D19" s="45">
        <v>13288157.595860098</v>
      </c>
      <c r="E19" s="45">
        <v>19503874.845860098</v>
      </c>
      <c r="F19" s="45">
        <v>25719592.095860098</v>
      </c>
      <c r="G19" s="45">
        <v>31935309.345860098</v>
      </c>
      <c r="H19" s="45">
        <v>31078586.25</v>
      </c>
      <c r="I19" s="45">
        <v>31078586.25</v>
      </c>
      <c r="J19" s="45">
        <v>31078586.25</v>
      </c>
      <c r="K19" s="45">
        <v>31078586.25</v>
      </c>
      <c r="L19" s="45">
        <v>31078586.25</v>
      </c>
      <c r="M19" s="45">
        <v>31078586.25</v>
      </c>
      <c r="N19" s="45">
        <v>31078586.25</v>
      </c>
      <c r="O19" s="45">
        <v>31078586.25</v>
      </c>
      <c r="P19" s="45">
        <v>31078586.25</v>
      </c>
      <c r="Q19" s="45">
        <v>31078586.25</v>
      </c>
      <c r="R19" s="45">
        <v>31078586.25</v>
      </c>
      <c r="S19" s="45">
        <v>31078586.25</v>
      </c>
      <c r="T19" s="45">
        <v>31078586.25</v>
      </c>
      <c r="U19" s="45">
        <v>31078586.25</v>
      </c>
      <c r="V19" s="46">
        <v>31078586.25</v>
      </c>
      <c r="W19" s="14"/>
      <c r="X19" s="47"/>
    </row>
    <row r="20" spans="1:24" s="48" customFormat="1" ht="14.25">
      <c r="A20" s="53" t="s">
        <v>0</v>
      </c>
      <c r="B20" s="54" t="s">
        <v>1</v>
      </c>
      <c r="C20" s="45">
        <v>-4405968.9458600972</v>
      </c>
      <c r="D20" s="45">
        <v>-4620444.7958600987</v>
      </c>
      <c r="E20" s="45">
        <v>-3162270.6458601002</v>
      </c>
      <c r="F20" s="45">
        <v>3498533.5041399039</v>
      </c>
      <c r="G20" s="45">
        <v>4587347.6541399024</v>
      </c>
      <c r="H20" s="45">
        <v>5444070.75</v>
      </c>
      <c r="I20" s="45">
        <v>5444070.75</v>
      </c>
      <c r="J20" s="45">
        <v>5444070.75</v>
      </c>
      <c r="K20" s="45">
        <v>5444070.75</v>
      </c>
      <c r="L20" s="45">
        <v>5444070.75</v>
      </c>
      <c r="M20" s="45">
        <v>5444070.75</v>
      </c>
      <c r="N20" s="45">
        <v>5444070.75</v>
      </c>
      <c r="O20" s="45">
        <v>5444070.75</v>
      </c>
      <c r="P20" s="45">
        <v>5444070.75</v>
      </c>
      <c r="Q20" s="45">
        <v>5444070.75</v>
      </c>
      <c r="R20" s="45">
        <v>5444070.75</v>
      </c>
      <c r="S20" s="45">
        <v>5444070.75</v>
      </c>
      <c r="T20" s="45">
        <v>5444070.75</v>
      </c>
      <c r="U20" s="45">
        <v>5444070.75</v>
      </c>
      <c r="V20" s="46">
        <v>5444070.75</v>
      </c>
      <c r="W20" s="14"/>
      <c r="X20" s="47"/>
    </row>
    <row r="21" spans="1:24" s="18" customFormat="1" ht="14.25">
      <c r="A21" s="55"/>
      <c r="B21" s="56"/>
      <c r="C21" s="36"/>
      <c r="D21" s="36"/>
      <c r="E21" s="36"/>
      <c r="F21" s="36"/>
      <c r="G21" s="36"/>
      <c r="H21" s="36"/>
      <c r="I21" s="36"/>
      <c r="J21" s="36"/>
      <c r="K21" s="36"/>
      <c r="L21" s="36"/>
      <c r="M21" s="36"/>
      <c r="N21" s="36"/>
      <c r="O21" s="36"/>
      <c r="P21" s="36"/>
      <c r="Q21" s="36"/>
      <c r="R21" s="36"/>
      <c r="S21" s="36"/>
      <c r="T21" s="36"/>
      <c r="U21" s="36"/>
      <c r="V21" s="37"/>
      <c r="W21" s="5"/>
      <c r="X21" s="17"/>
    </row>
    <row r="22" spans="1:24" s="18" customFormat="1" ht="14.25">
      <c r="A22" s="57" t="s">
        <v>36</v>
      </c>
      <c r="B22" s="54" t="s">
        <v>1</v>
      </c>
      <c r="C22" s="36">
        <v>89452.829543257001</v>
      </c>
      <c r="D22" s="36">
        <v>183269.21174716068</v>
      </c>
      <c r="E22" s="36">
        <v>281449.14661171107</v>
      </c>
      <c r="F22" s="36">
        <v>383992.63413690811</v>
      </c>
      <c r="G22" s="36">
        <v>490899.67432275187</v>
      </c>
      <c r="H22" s="36">
        <v>501808.55597436853</v>
      </c>
      <c r="I22" s="36">
        <v>512717.4376259853</v>
      </c>
      <c r="J22" s="36">
        <v>523626.31927760202</v>
      </c>
      <c r="K22" s="36">
        <v>534535.20092921879</v>
      </c>
      <c r="L22" s="36">
        <v>545444.08258083544</v>
      </c>
      <c r="M22" s="36">
        <v>556352.9642324521</v>
      </c>
      <c r="N22" s="36">
        <v>567261.84588406875</v>
      </c>
      <c r="O22" s="36">
        <v>578170.72753568552</v>
      </c>
      <c r="P22" s="36">
        <v>599988.49083891895</v>
      </c>
      <c r="Q22" s="36">
        <v>610897.37249053561</v>
      </c>
      <c r="R22" s="36">
        <v>621806.25414215238</v>
      </c>
      <c r="S22" s="36">
        <v>632715.13579376903</v>
      </c>
      <c r="T22" s="36">
        <v>654532.89909700246</v>
      </c>
      <c r="U22" s="36">
        <v>665441.78074861912</v>
      </c>
      <c r="V22" s="36">
        <v>687259.54405185254</v>
      </c>
      <c r="W22" s="5"/>
      <c r="X22" s="17"/>
    </row>
    <row r="23" spans="1:24" s="18" customFormat="1" ht="14.25">
      <c r="A23" s="57" t="s">
        <v>37</v>
      </c>
      <c r="B23" s="54" t="s">
        <v>1</v>
      </c>
      <c r="C23" s="36">
        <v>178905.659086514</v>
      </c>
      <c r="D23" s="36">
        <v>366538.42349432135</v>
      </c>
      <c r="E23" s="36">
        <v>562898.29322342214</v>
      </c>
      <c r="F23" s="36">
        <v>759258.16295252298</v>
      </c>
      <c r="G23" s="36">
        <v>970890.46699388709</v>
      </c>
      <c r="H23" s="36">
        <v>992708.23029712052</v>
      </c>
      <c r="I23" s="36">
        <v>1025434.8752519706</v>
      </c>
      <c r="J23" s="36">
        <v>1047252.638555204</v>
      </c>
      <c r="K23" s="36">
        <v>1069070.4018584376</v>
      </c>
      <c r="L23" s="36">
        <v>1090888.1651616709</v>
      </c>
      <c r="M23" s="36">
        <v>1112705.9284649042</v>
      </c>
      <c r="N23" s="36">
        <v>1145432.5734197542</v>
      </c>
      <c r="O23" s="36">
        <v>1167250.3367229877</v>
      </c>
      <c r="P23" s="36">
        <v>1189068.100026221</v>
      </c>
      <c r="Q23" s="36">
        <v>1221794.7449810712</v>
      </c>
      <c r="R23" s="36">
        <v>1243612.5082843048</v>
      </c>
      <c r="S23" s="36">
        <v>1276339.1532391547</v>
      </c>
      <c r="T23" s="36">
        <v>1309065.7981940049</v>
      </c>
      <c r="U23" s="36">
        <v>1330883.5614972382</v>
      </c>
      <c r="V23" s="36">
        <v>1363610.2064520887</v>
      </c>
      <c r="W23" s="5"/>
      <c r="X23" s="17"/>
    </row>
    <row r="24" spans="1:24" s="18" customFormat="1" ht="14.25">
      <c r="A24" s="58"/>
      <c r="B24" s="54"/>
      <c r="C24" s="36"/>
      <c r="D24" s="36"/>
      <c r="E24" s="36"/>
      <c r="F24" s="36"/>
      <c r="G24" s="36"/>
      <c r="H24" s="36"/>
      <c r="I24" s="36"/>
      <c r="J24" s="36"/>
      <c r="K24" s="36"/>
      <c r="L24" s="36"/>
      <c r="M24" s="36"/>
      <c r="N24" s="36"/>
      <c r="O24" s="36"/>
      <c r="P24" s="36"/>
      <c r="Q24" s="36"/>
      <c r="R24" s="36"/>
      <c r="S24" s="36"/>
      <c r="T24" s="36"/>
      <c r="U24" s="36"/>
      <c r="V24" s="37"/>
      <c r="W24" s="5"/>
      <c r="X24" s="17"/>
    </row>
    <row r="25" spans="1:24" s="48" customFormat="1" ht="14.25">
      <c r="A25" s="59" t="s">
        <v>38</v>
      </c>
      <c r="B25" s="54"/>
      <c r="C25" s="45">
        <v>-4316516.1163168401</v>
      </c>
      <c r="D25" s="45">
        <v>-4437175.5841129376</v>
      </c>
      <c r="E25" s="45">
        <v>-2880821.4992483892</v>
      </c>
      <c r="F25" s="45">
        <v>3882526.1382768122</v>
      </c>
      <c r="G25" s="45">
        <v>5078247.3284626547</v>
      </c>
      <c r="H25" s="45">
        <v>5945879.3059743689</v>
      </c>
      <c r="I25" s="45">
        <v>5956788.1876259856</v>
      </c>
      <c r="J25" s="45">
        <v>5967697.0692776022</v>
      </c>
      <c r="K25" s="45">
        <v>5978605.9509292189</v>
      </c>
      <c r="L25" s="45">
        <v>5989514.8325808356</v>
      </c>
      <c r="M25" s="45">
        <v>6000423.7142324522</v>
      </c>
      <c r="N25" s="45">
        <v>6011332.5958840689</v>
      </c>
      <c r="O25" s="45">
        <v>6022241.4775356855</v>
      </c>
      <c r="P25" s="45">
        <v>6044059.2408389188</v>
      </c>
      <c r="Q25" s="45">
        <v>6054968.1224905355</v>
      </c>
      <c r="R25" s="45">
        <v>6065877.0041421521</v>
      </c>
      <c r="S25" s="45">
        <v>6076785.8857937688</v>
      </c>
      <c r="T25" s="45">
        <v>6098603.6490970021</v>
      </c>
      <c r="U25" s="45">
        <v>6109512.5307486188</v>
      </c>
      <c r="V25" s="46">
        <v>6131330.2940518521</v>
      </c>
      <c r="W25" s="14"/>
      <c r="X25" s="47"/>
    </row>
    <row r="26" spans="1:24" s="48" customFormat="1" thickBot="1">
      <c r="A26" s="60" t="s">
        <v>39</v>
      </c>
      <c r="B26" s="61"/>
      <c r="C26" s="62">
        <v>-4227063.2867735829</v>
      </c>
      <c r="D26" s="62">
        <v>-4253906.3723657774</v>
      </c>
      <c r="E26" s="62">
        <v>-2599372.3526366781</v>
      </c>
      <c r="F26" s="62">
        <v>4257791.6670924267</v>
      </c>
      <c r="G26" s="62">
        <v>5558238.1211337894</v>
      </c>
      <c r="H26" s="62">
        <v>6436778.9802971203</v>
      </c>
      <c r="I26" s="62">
        <v>6469505.6252519703</v>
      </c>
      <c r="J26" s="62">
        <v>6491323.3885552045</v>
      </c>
      <c r="K26" s="62">
        <v>6513141.1518584378</v>
      </c>
      <c r="L26" s="62">
        <v>6534958.9151616711</v>
      </c>
      <c r="M26" s="62">
        <v>6556776.6784649044</v>
      </c>
      <c r="N26" s="62">
        <v>6589503.3234197544</v>
      </c>
      <c r="O26" s="62">
        <v>6611321.0867229877</v>
      </c>
      <c r="P26" s="62">
        <v>6633138.850026221</v>
      </c>
      <c r="Q26" s="62">
        <v>6665865.494981071</v>
      </c>
      <c r="R26" s="62">
        <v>6687683.2582843043</v>
      </c>
      <c r="S26" s="62">
        <v>6720409.9032391552</v>
      </c>
      <c r="T26" s="62">
        <v>6753136.5481940052</v>
      </c>
      <c r="U26" s="62">
        <v>6774954.3114972385</v>
      </c>
      <c r="V26" s="63">
        <v>6807680.9564520884</v>
      </c>
      <c r="W26" s="14"/>
      <c r="X26" s="47"/>
    </row>
    <row r="27" spans="1:24" s="18" customFormat="1" thickBot="1">
      <c r="A27" s="64"/>
      <c r="B27" s="22"/>
      <c r="C27" s="65"/>
      <c r="D27" s="65"/>
      <c r="E27" s="65"/>
      <c r="F27" s="65"/>
      <c r="G27" s="65"/>
      <c r="H27" s="65"/>
      <c r="I27" s="66"/>
      <c r="J27" s="66"/>
      <c r="K27" s="67"/>
      <c r="L27" s="67"/>
      <c r="M27" s="67"/>
      <c r="N27" s="67"/>
      <c r="O27" s="67"/>
      <c r="P27" s="67"/>
      <c r="Q27" s="67"/>
      <c r="R27" s="67"/>
      <c r="S27" s="67"/>
      <c r="T27" s="67"/>
      <c r="U27" s="67"/>
      <c r="V27" s="68"/>
      <c r="W27" s="69"/>
      <c r="X27" s="17"/>
    </row>
    <row r="28" spans="1:24" s="18" customFormat="1" ht="14.25">
      <c r="A28" s="134" t="s">
        <v>22</v>
      </c>
      <c r="B28" s="135"/>
      <c r="C28" s="70"/>
      <c r="D28" s="71"/>
      <c r="E28" s="71"/>
      <c r="F28" s="71"/>
      <c r="G28" s="71"/>
      <c r="H28" s="71"/>
      <c r="I28" s="72"/>
      <c r="J28" s="72"/>
      <c r="K28" s="66"/>
      <c r="L28" s="66"/>
      <c r="M28" s="66"/>
      <c r="N28" s="66"/>
      <c r="O28" s="66"/>
      <c r="P28" s="66"/>
      <c r="Q28" s="66"/>
      <c r="R28" s="66"/>
      <c r="S28" s="66"/>
      <c r="T28" s="66"/>
      <c r="U28" s="66"/>
      <c r="V28" s="73"/>
      <c r="W28" s="74"/>
      <c r="X28" s="17"/>
    </row>
    <row r="29" spans="1:24" s="18" customFormat="1" ht="14.25">
      <c r="A29" s="53" t="s">
        <v>10</v>
      </c>
      <c r="B29" s="75">
        <v>8.5000000000000006E-2</v>
      </c>
      <c r="C29" s="70"/>
      <c r="D29" s="71"/>
      <c r="E29" s="71"/>
      <c r="F29" s="71"/>
      <c r="G29" s="71"/>
      <c r="H29" s="71"/>
      <c r="I29" s="72"/>
      <c r="J29" s="72"/>
      <c r="K29" s="72"/>
      <c r="L29" s="72"/>
      <c r="M29" s="72"/>
      <c r="N29" s="72"/>
      <c r="O29" s="72"/>
      <c r="P29" s="72"/>
      <c r="Q29" s="72"/>
      <c r="R29" s="72"/>
      <c r="S29" s="72"/>
      <c r="T29" s="72"/>
      <c r="U29" s="72"/>
      <c r="V29" s="76"/>
      <c r="W29" s="74"/>
      <c r="X29" s="17"/>
    </row>
    <row r="30" spans="1:24" s="18" customFormat="1" thickBot="1">
      <c r="A30" s="136" t="s">
        <v>23</v>
      </c>
      <c r="B30" s="137"/>
      <c r="C30" s="77"/>
      <c r="D30" s="72"/>
      <c r="E30" s="72"/>
      <c r="F30" s="72"/>
      <c r="G30" s="72"/>
      <c r="H30" s="72"/>
      <c r="I30" s="72"/>
      <c r="J30" s="72"/>
      <c r="K30" s="72"/>
      <c r="L30" s="72"/>
      <c r="M30" s="72"/>
      <c r="N30" s="72"/>
      <c r="O30" s="72"/>
      <c r="P30" s="72"/>
      <c r="Q30" s="72"/>
      <c r="R30" s="72"/>
      <c r="S30" s="72"/>
      <c r="T30" s="72"/>
      <c r="U30" s="72"/>
      <c r="V30" s="76"/>
      <c r="W30" s="74"/>
      <c r="X30" s="17"/>
    </row>
    <row r="31" spans="1:24" s="18" customFormat="1" thickBot="1">
      <c r="A31" s="78" t="s">
        <v>7</v>
      </c>
      <c r="B31" s="435">
        <v>25179756.687156577</v>
      </c>
      <c r="C31" s="80" t="s">
        <v>1</v>
      </c>
      <c r="D31" s="80"/>
      <c r="E31" s="80"/>
      <c r="F31" s="80"/>
      <c r="G31" s="80"/>
      <c r="H31" s="80"/>
      <c r="I31" s="80"/>
      <c r="J31" s="80"/>
      <c r="K31" s="72"/>
      <c r="L31" s="72"/>
      <c r="M31" s="72"/>
      <c r="N31" s="72"/>
      <c r="O31" s="72"/>
      <c r="P31" s="72"/>
      <c r="Q31" s="72"/>
      <c r="R31" s="72"/>
      <c r="S31" s="72"/>
      <c r="T31" s="72"/>
      <c r="U31" s="72"/>
      <c r="V31" s="76"/>
      <c r="W31" s="74"/>
      <c r="X31" s="17"/>
    </row>
    <row r="32" spans="1:24" s="18" customFormat="1" thickBot="1">
      <c r="A32" s="78" t="s">
        <v>8</v>
      </c>
      <c r="B32" s="81">
        <v>0.29063855005371908</v>
      </c>
      <c r="C32" s="82" t="s">
        <v>24</v>
      </c>
      <c r="D32" s="82"/>
      <c r="E32" s="82"/>
      <c r="F32" s="82"/>
      <c r="G32" s="82"/>
      <c r="H32" s="82"/>
      <c r="I32" s="82"/>
      <c r="J32" s="82"/>
      <c r="K32" s="72"/>
      <c r="L32" s="72"/>
      <c r="M32" s="72"/>
      <c r="N32" s="72"/>
      <c r="O32" s="72"/>
      <c r="P32" s="72"/>
      <c r="Q32" s="72"/>
      <c r="R32" s="72"/>
      <c r="S32" s="72"/>
      <c r="T32" s="72"/>
      <c r="U32" s="72"/>
      <c r="V32" s="76"/>
      <c r="W32" s="74"/>
      <c r="X32" s="17"/>
    </row>
    <row r="33" spans="1:24" s="18" customFormat="1" thickBot="1">
      <c r="A33" s="78" t="s">
        <v>9</v>
      </c>
      <c r="B33" s="81">
        <v>0.15730743828460203</v>
      </c>
      <c r="C33" s="80" t="s">
        <v>24</v>
      </c>
      <c r="D33" s="80"/>
      <c r="E33" s="80"/>
      <c r="F33" s="80"/>
      <c r="G33" s="80"/>
      <c r="H33" s="80"/>
      <c r="I33" s="80"/>
      <c r="J33" s="80"/>
      <c r="K33" s="72"/>
      <c r="L33" s="72"/>
      <c r="M33" s="72"/>
      <c r="N33" s="72"/>
      <c r="O33" s="72"/>
      <c r="P33" s="72"/>
      <c r="Q33" s="72"/>
      <c r="R33" s="72"/>
      <c r="S33" s="72"/>
      <c r="T33" s="72"/>
      <c r="U33" s="72"/>
      <c r="V33" s="76"/>
      <c r="W33" s="74"/>
      <c r="X33" s="17"/>
    </row>
    <row r="34" spans="1:24" s="18" customFormat="1" thickBot="1">
      <c r="A34" s="83" t="s">
        <v>25</v>
      </c>
      <c r="B34" s="84">
        <v>1.1375882740558196</v>
      </c>
      <c r="C34" s="85"/>
      <c r="D34" s="86"/>
      <c r="E34" s="85"/>
      <c r="F34" s="85"/>
      <c r="G34" s="85"/>
      <c r="H34" s="85"/>
      <c r="I34" s="85"/>
      <c r="J34" s="85"/>
      <c r="K34" s="72"/>
      <c r="L34" s="72"/>
      <c r="M34" s="72"/>
      <c r="N34" s="72"/>
      <c r="O34" s="72"/>
      <c r="P34" s="72"/>
      <c r="Q34" s="72"/>
      <c r="R34" s="72"/>
      <c r="S34" s="72"/>
      <c r="T34" s="72"/>
      <c r="U34" s="72"/>
      <c r="V34" s="76"/>
      <c r="W34" s="74"/>
      <c r="X34" s="17"/>
    </row>
    <row r="35" spans="1:24" s="18" customFormat="1" thickBot="1">
      <c r="A35" s="87"/>
      <c r="B35" s="88"/>
      <c r="D35" s="89"/>
      <c r="V35" s="90"/>
      <c r="W35" s="91"/>
      <c r="X35" s="17"/>
    </row>
    <row r="36" spans="1:24" s="18" customFormat="1" thickBot="1">
      <c r="A36" s="138" t="s">
        <v>40</v>
      </c>
      <c r="B36" s="139"/>
      <c r="C36" s="71"/>
      <c r="D36" s="92"/>
      <c r="E36" s="71"/>
      <c r="F36" s="71"/>
      <c r="G36" s="71"/>
      <c r="H36" s="71"/>
      <c r="I36" s="72"/>
      <c r="J36" s="72"/>
      <c r="K36" s="66"/>
      <c r="L36" s="66"/>
      <c r="M36" s="66"/>
      <c r="N36" s="66"/>
      <c r="O36" s="66"/>
      <c r="P36" s="66"/>
      <c r="Q36" s="66"/>
      <c r="R36" s="66"/>
      <c r="S36" s="66"/>
      <c r="T36" s="66"/>
      <c r="U36" s="66"/>
      <c r="V36" s="73"/>
      <c r="W36" s="74"/>
      <c r="X36" s="17"/>
    </row>
    <row r="37" spans="1:24" s="18" customFormat="1" thickBot="1">
      <c r="A37" s="93" t="s">
        <v>10</v>
      </c>
      <c r="B37" s="94">
        <v>8.5000000000000006E-2</v>
      </c>
      <c r="C37" s="71"/>
      <c r="D37" s="71"/>
      <c r="E37" s="71"/>
      <c r="F37" s="71"/>
      <c r="G37" s="71"/>
      <c r="H37" s="71"/>
      <c r="I37" s="72"/>
      <c r="J37" s="72"/>
      <c r="K37" s="72"/>
      <c r="L37" s="72"/>
      <c r="M37" s="72"/>
      <c r="N37" s="72"/>
      <c r="O37" s="72"/>
      <c r="P37" s="72"/>
      <c r="Q37" s="72"/>
      <c r="R37" s="72"/>
      <c r="S37" s="72"/>
      <c r="T37" s="72"/>
      <c r="U37" s="72"/>
      <c r="V37" s="76"/>
      <c r="W37" s="74"/>
      <c r="X37" s="17"/>
    </row>
    <row r="38" spans="1:24" s="18" customFormat="1" thickBot="1">
      <c r="A38" s="140" t="s">
        <v>23</v>
      </c>
      <c r="B38" s="141"/>
      <c r="C38" s="72"/>
      <c r="D38" s="72"/>
      <c r="E38" s="72"/>
      <c r="F38" s="72"/>
      <c r="G38" s="72"/>
      <c r="H38" s="72"/>
      <c r="I38" s="72"/>
      <c r="J38" s="72"/>
      <c r="K38" s="72"/>
      <c r="L38" s="72"/>
      <c r="M38" s="72"/>
      <c r="N38" s="72"/>
      <c r="O38" s="72"/>
      <c r="P38" s="72"/>
      <c r="Q38" s="72"/>
      <c r="R38" s="72"/>
      <c r="S38" s="72"/>
      <c r="T38" s="72"/>
      <c r="U38" s="72"/>
      <c r="V38" s="76"/>
      <c r="W38" s="74"/>
      <c r="X38" s="17"/>
    </row>
    <row r="39" spans="1:24" s="18" customFormat="1" thickBot="1">
      <c r="A39" s="13" t="s">
        <v>7</v>
      </c>
      <c r="B39" s="436">
        <v>29373745.717523765</v>
      </c>
      <c r="C39" s="80" t="s">
        <v>1</v>
      </c>
      <c r="D39" s="80"/>
      <c r="E39" s="80"/>
      <c r="F39" s="80"/>
      <c r="G39" s="80"/>
      <c r="H39" s="80"/>
      <c r="I39" s="80"/>
      <c r="J39" s="80"/>
      <c r="K39" s="72"/>
      <c r="L39" s="72"/>
      <c r="M39" s="72"/>
      <c r="N39" s="72"/>
      <c r="O39" s="72"/>
      <c r="P39" s="72"/>
      <c r="Q39" s="72"/>
      <c r="R39" s="72"/>
      <c r="S39" s="72"/>
      <c r="T39" s="72"/>
      <c r="U39" s="72"/>
      <c r="V39" s="76"/>
      <c r="W39" s="74"/>
      <c r="X39" s="17"/>
    </row>
    <row r="40" spans="1:24" s="18" customFormat="1" thickBot="1">
      <c r="A40" s="51" t="s">
        <v>8</v>
      </c>
      <c r="B40" s="437">
        <v>0.32220579183313075</v>
      </c>
      <c r="C40" s="82" t="s">
        <v>24</v>
      </c>
      <c r="D40" s="82"/>
      <c r="E40" s="82"/>
      <c r="F40" s="82"/>
      <c r="G40" s="82"/>
      <c r="H40" s="82"/>
      <c r="I40" s="82"/>
      <c r="J40" s="82"/>
      <c r="K40" s="72"/>
      <c r="L40" s="72"/>
      <c r="M40" s="72"/>
      <c r="N40" s="72"/>
      <c r="O40" s="72"/>
      <c r="P40" s="72"/>
      <c r="Q40" s="72"/>
      <c r="R40" s="72"/>
      <c r="S40" s="72"/>
      <c r="T40" s="72"/>
      <c r="U40" s="72"/>
      <c r="V40" s="76"/>
      <c r="W40" s="74"/>
      <c r="X40" s="17"/>
    </row>
    <row r="41" spans="1:24" s="18" customFormat="1" thickBot="1">
      <c r="A41" s="83" t="s">
        <v>9</v>
      </c>
      <c r="B41" s="438">
        <v>0.16614181275707729</v>
      </c>
      <c r="C41" s="80" t="s">
        <v>24</v>
      </c>
      <c r="D41" s="80"/>
      <c r="E41" s="80"/>
      <c r="F41" s="80"/>
      <c r="G41" s="80"/>
      <c r="H41" s="80"/>
      <c r="I41" s="80"/>
      <c r="J41" s="80"/>
      <c r="K41" s="72"/>
      <c r="L41" s="72"/>
      <c r="M41" s="72"/>
      <c r="N41" s="72"/>
      <c r="O41" s="72"/>
      <c r="P41" s="72"/>
      <c r="Q41" s="72"/>
      <c r="R41" s="72"/>
      <c r="S41" s="72"/>
      <c r="T41" s="72"/>
      <c r="U41" s="72"/>
      <c r="V41" s="76"/>
      <c r="W41" s="74"/>
      <c r="X41" s="17"/>
    </row>
    <row r="42" spans="1:24" ht="15.75" thickBot="1"/>
    <row r="43" spans="1:24" s="18" customFormat="1" thickBot="1">
      <c r="A43" s="138" t="s">
        <v>41</v>
      </c>
      <c r="B43" s="139"/>
      <c r="C43" s="71"/>
      <c r="D43" s="71"/>
      <c r="E43" s="71"/>
      <c r="F43" s="71"/>
      <c r="G43" s="71"/>
      <c r="H43" s="71"/>
      <c r="I43" s="72"/>
      <c r="J43" s="72"/>
      <c r="K43" s="66"/>
      <c r="L43" s="66"/>
      <c r="M43" s="66"/>
      <c r="N43" s="66"/>
      <c r="O43" s="66"/>
      <c r="P43" s="66"/>
      <c r="Q43" s="66"/>
      <c r="R43" s="66"/>
      <c r="S43" s="66"/>
      <c r="T43" s="66"/>
      <c r="U43" s="66"/>
      <c r="V43" s="73"/>
      <c r="W43" s="74"/>
      <c r="X43" s="17"/>
    </row>
    <row r="44" spans="1:24" s="18" customFormat="1" thickBot="1">
      <c r="A44" s="93" t="s">
        <v>10</v>
      </c>
      <c r="B44" s="94">
        <v>8.5000000000000006E-2</v>
      </c>
      <c r="C44" s="71"/>
      <c r="D44" s="71"/>
      <c r="E44" s="71"/>
      <c r="F44" s="71"/>
      <c r="G44" s="71"/>
      <c r="H44" s="71"/>
      <c r="I44" s="72"/>
      <c r="J44" s="72"/>
      <c r="K44" s="72"/>
      <c r="L44" s="72"/>
      <c r="M44" s="72"/>
      <c r="N44" s="72"/>
      <c r="O44" s="72"/>
      <c r="P44" s="72"/>
      <c r="Q44" s="72"/>
      <c r="R44" s="72"/>
      <c r="S44" s="72"/>
      <c r="T44" s="72"/>
      <c r="U44" s="72"/>
      <c r="V44" s="76"/>
      <c r="W44" s="74"/>
      <c r="X44" s="17"/>
    </row>
    <row r="45" spans="1:24" s="18" customFormat="1" thickBot="1">
      <c r="A45" s="140" t="s">
        <v>23</v>
      </c>
      <c r="B45" s="141"/>
      <c r="C45" s="72"/>
      <c r="D45" s="72"/>
      <c r="E45" s="72"/>
      <c r="F45" s="72"/>
      <c r="G45" s="72"/>
      <c r="H45" s="72"/>
      <c r="I45" s="72"/>
      <c r="J45" s="72"/>
      <c r="K45" s="72"/>
      <c r="L45" s="72"/>
      <c r="M45" s="72"/>
      <c r="N45" s="72"/>
      <c r="O45" s="72"/>
      <c r="P45" s="72"/>
      <c r="Q45" s="72"/>
      <c r="R45" s="72"/>
      <c r="S45" s="72"/>
      <c r="T45" s="72"/>
      <c r="U45" s="72"/>
      <c r="V45" s="76"/>
      <c r="W45" s="74"/>
      <c r="X45" s="17"/>
    </row>
    <row r="46" spans="1:24" s="18" customFormat="1" thickBot="1">
      <c r="A46" s="13" t="s">
        <v>7</v>
      </c>
      <c r="B46" s="436">
        <v>33552482.179649252</v>
      </c>
      <c r="C46" s="80" t="s">
        <v>1</v>
      </c>
      <c r="D46" s="80"/>
      <c r="E46" s="80"/>
      <c r="F46" s="80"/>
      <c r="G46" s="80"/>
      <c r="H46" s="80"/>
      <c r="I46" s="80"/>
      <c r="J46" s="80"/>
      <c r="K46" s="72"/>
      <c r="L46" s="72"/>
      <c r="M46" s="72"/>
      <c r="N46" s="72"/>
      <c r="O46" s="72"/>
      <c r="P46" s="72"/>
      <c r="Q46" s="72"/>
      <c r="R46" s="72"/>
      <c r="S46" s="72"/>
      <c r="T46" s="72"/>
      <c r="U46" s="72"/>
      <c r="V46" s="76"/>
      <c r="W46" s="74"/>
      <c r="X46" s="17"/>
    </row>
    <row r="47" spans="1:24" s="18" customFormat="1" thickBot="1">
      <c r="A47" s="51" t="s">
        <v>8</v>
      </c>
      <c r="B47" s="437">
        <v>0.3537760821729134</v>
      </c>
      <c r="C47" s="82" t="s">
        <v>24</v>
      </c>
      <c r="D47" s="82"/>
      <c r="E47" s="82"/>
      <c r="F47" s="82"/>
      <c r="G47" s="82"/>
      <c r="H47" s="82"/>
      <c r="I47" s="82"/>
      <c r="J47" s="82"/>
      <c r="K47" s="72"/>
      <c r="L47" s="72"/>
      <c r="M47" s="72"/>
      <c r="N47" s="72"/>
      <c r="O47" s="72"/>
      <c r="P47" s="72"/>
      <c r="Q47" s="72"/>
      <c r="R47" s="72"/>
      <c r="S47" s="72"/>
      <c r="T47" s="72"/>
      <c r="U47" s="72"/>
      <c r="V47" s="76"/>
      <c r="W47" s="74"/>
      <c r="X47" s="17"/>
    </row>
    <row r="48" spans="1:24" s="18" customFormat="1" thickBot="1">
      <c r="A48" s="83" t="s">
        <v>9</v>
      </c>
      <c r="B48" s="438">
        <v>0.17459278925220612</v>
      </c>
      <c r="C48" s="80" t="s">
        <v>24</v>
      </c>
      <c r="D48" s="80"/>
      <c r="E48" s="80"/>
      <c r="F48" s="80"/>
      <c r="G48" s="80"/>
      <c r="H48" s="80"/>
      <c r="I48" s="80"/>
      <c r="J48" s="80"/>
      <c r="K48" s="72"/>
      <c r="L48" s="72"/>
      <c r="M48" s="72"/>
      <c r="N48" s="72"/>
      <c r="O48" s="72"/>
      <c r="P48" s="72"/>
      <c r="Q48" s="72"/>
      <c r="R48" s="72"/>
      <c r="S48" s="72"/>
      <c r="T48" s="72"/>
      <c r="U48" s="72"/>
      <c r="V48" s="76"/>
      <c r="W48" s="74"/>
      <c r="X48" s="17"/>
    </row>
    <row r="51" spans="1:24" s="102" customFormat="1" ht="13.5" thickBot="1">
      <c r="B51" s="103" t="s">
        <v>26</v>
      </c>
      <c r="C51" s="104"/>
      <c r="D51" s="104"/>
      <c r="E51" s="104"/>
      <c r="F51" s="104"/>
      <c r="G51" s="104"/>
      <c r="H51" s="104"/>
      <c r="I51" s="104"/>
      <c r="J51" s="104"/>
      <c r="K51" s="104"/>
      <c r="L51" s="104"/>
      <c r="M51" s="104"/>
      <c r="N51" s="104"/>
      <c r="O51" s="104"/>
      <c r="P51" s="104"/>
      <c r="Q51" s="104"/>
      <c r="R51" s="104"/>
      <c r="S51" s="104"/>
      <c r="T51" s="104"/>
      <c r="U51" s="104"/>
      <c r="V51" s="105"/>
      <c r="W51" s="106"/>
      <c r="X51" s="107"/>
    </row>
    <row r="52" spans="1:24" s="102" customFormat="1" ht="12.75">
      <c r="B52" s="108" t="s">
        <v>27</v>
      </c>
      <c r="C52" s="109">
        <v>0</v>
      </c>
      <c r="D52" s="110">
        <v>1</v>
      </c>
      <c r="E52" s="110">
        <v>2</v>
      </c>
      <c r="F52" s="110">
        <v>3</v>
      </c>
      <c r="G52" s="110">
        <v>4</v>
      </c>
      <c r="H52" s="110">
        <v>5</v>
      </c>
      <c r="I52" s="110">
        <v>6</v>
      </c>
      <c r="J52" s="110">
        <v>7</v>
      </c>
      <c r="K52" s="110">
        <v>8</v>
      </c>
      <c r="L52" s="110">
        <v>9</v>
      </c>
      <c r="M52" s="110">
        <v>10</v>
      </c>
      <c r="N52" s="110">
        <v>11</v>
      </c>
      <c r="O52" s="110">
        <v>12</v>
      </c>
      <c r="P52" s="110">
        <v>13</v>
      </c>
      <c r="Q52" s="110">
        <v>14</v>
      </c>
      <c r="R52" s="110">
        <v>15</v>
      </c>
      <c r="S52" s="110">
        <v>16</v>
      </c>
      <c r="T52" s="110">
        <v>17</v>
      </c>
      <c r="U52" s="110">
        <v>18</v>
      </c>
      <c r="V52" s="110">
        <v>19</v>
      </c>
      <c r="W52" s="111">
        <v>20</v>
      </c>
      <c r="X52" s="107"/>
    </row>
    <row r="53" spans="1:24" s="102" customFormat="1" ht="12.75">
      <c r="B53" s="108" t="s">
        <v>28</v>
      </c>
      <c r="C53" s="112">
        <v>-4283615.4793004859</v>
      </c>
      <c r="D53" s="113"/>
      <c r="E53" s="113"/>
      <c r="F53" s="113"/>
      <c r="G53" s="113"/>
      <c r="H53" s="113"/>
      <c r="I53" s="113"/>
      <c r="J53" s="113"/>
      <c r="K53" s="113"/>
      <c r="L53" s="113"/>
      <c r="M53" s="113"/>
      <c r="N53" s="113"/>
      <c r="O53" s="113"/>
      <c r="P53" s="113"/>
      <c r="Q53" s="113"/>
      <c r="R53" s="113"/>
      <c r="S53" s="113"/>
      <c r="T53" s="113"/>
      <c r="U53" s="113"/>
      <c r="V53" s="113"/>
      <c r="W53" s="114"/>
      <c r="X53" s="107"/>
    </row>
    <row r="54" spans="1:24" s="102" customFormat="1" ht="12.75">
      <c r="B54" s="108" t="s">
        <v>29</v>
      </c>
      <c r="D54" s="115">
        <v>-3549245.85</v>
      </c>
      <c r="E54" s="115">
        <v>-3763721.7000000011</v>
      </c>
      <c r="F54" s="115">
        <v>-2305547.5500000026</v>
      </c>
      <c r="G54" s="115">
        <v>4355256.6000000015</v>
      </c>
      <c r="H54" s="115">
        <v>5444070.75</v>
      </c>
      <c r="I54" s="115">
        <v>5444070.75</v>
      </c>
      <c r="J54" s="115">
        <v>36522657</v>
      </c>
      <c r="K54" s="115">
        <v>36522657</v>
      </c>
      <c r="L54" s="115">
        <v>36522657</v>
      </c>
      <c r="M54" s="115">
        <v>36522657</v>
      </c>
      <c r="N54" s="115">
        <v>36522657</v>
      </c>
      <c r="O54" s="115">
        <v>36522657</v>
      </c>
      <c r="P54" s="115">
        <v>36522657</v>
      </c>
      <c r="Q54" s="115">
        <v>36522657</v>
      </c>
      <c r="R54" s="115">
        <v>36522657</v>
      </c>
      <c r="S54" s="115">
        <v>36522657</v>
      </c>
      <c r="T54" s="115">
        <v>36522657</v>
      </c>
      <c r="U54" s="115">
        <v>36522657</v>
      </c>
      <c r="V54" s="115">
        <v>36522657</v>
      </c>
      <c r="W54" s="116">
        <v>36522657</v>
      </c>
      <c r="X54" s="107"/>
    </row>
    <row r="55" spans="1:24" s="102" customFormat="1" ht="13.5" thickBot="1">
      <c r="B55" s="108" t="s">
        <v>30</v>
      </c>
      <c r="C55" s="117">
        <v>-4283615.4793004859</v>
      </c>
      <c r="D55" s="118">
        <v>-7832861.3293004856</v>
      </c>
      <c r="E55" s="118">
        <v>-11596583.029300487</v>
      </c>
      <c r="F55" s="118">
        <v>-13902130.579300489</v>
      </c>
      <c r="G55" s="118">
        <v>-9546873.9793004878</v>
      </c>
      <c r="H55" s="118">
        <v>-4102803.2293004878</v>
      </c>
      <c r="I55" s="118">
        <v>1341267.5206995122</v>
      </c>
      <c r="J55" s="118">
        <v>37863924.520699516</v>
      </c>
      <c r="K55" s="118">
        <v>74386581.520699516</v>
      </c>
      <c r="L55" s="118">
        <v>110909238.52069952</v>
      </c>
      <c r="M55" s="118">
        <v>147431895.5206995</v>
      </c>
      <c r="N55" s="118">
        <v>183954552.5206995</v>
      </c>
      <c r="O55" s="118">
        <v>220477209.5206995</v>
      </c>
      <c r="P55" s="118">
        <v>256999866.5206995</v>
      </c>
      <c r="Q55" s="118">
        <v>293522523.5206995</v>
      </c>
      <c r="R55" s="118">
        <v>330045180.5206995</v>
      </c>
      <c r="S55" s="118">
        <v>366567837.5206995</v>
      </c>
      <c r="T55" s="118">
        <v>403090494.5206995</v>
      </c>
      <c r="U55" s="118">
        <v>439613151.5206995</v>
      </c>
      <c r="V55" s="118">
        <v>476135808.5206995</v>
      </c>
      <c r="W55" s="119">
        <v>512658465.5206995</v>
      </c>
      <c r="X55" s="107"/>
    </row>
    <row r="56" spans="1:24" s="128" customFormat="1" ht="14.25">
      <c r="A56" s="120"/>
      <c r="B56" s="121"/>
      <c r="C56" s="122"/>
      <c r="D56" s="123"/>
      <c r="E56" s="124"/>
      <c r="F56" s="124"/>
      <c r="G56" s="124"/>
      <c r="H56" s="124"/>
      <c r="I56" s="124"/>
      <c r="J56" s="124"/>
      <c r="K56" s="124"/>
      <c r="L56" s="124"/>
      <c r="M56" s="124"/>
      <c r="N56" s="124"/>
      <c r="O56" s="124"/>
      <c r="P56" s="124"/>
      <c r="Q56" s="124"/>
      <c r="R56" s="124"/>
      <c r="S56" s="124"/>
      <c r="T56" s="124"/>
      <c r="U56" s="124"/>
      <c r="V56" s="125"/>
      <c r="W56" s="126"/>
      <c r="X56" s="127"/>
    </row>
    <row r="57" spans="1:24" s="128" customFormat="1" thickBot="1">
      <c r="B57" s="129" t="s">
        <v>31</v>
      </c>
      <c r="C57" s="130">
        <v>5.9632757408449359</v>
      </c>
      <c r="D57" s="127"/>
      <c r="V57" s="121"/>
      <c r="W57" s="126"/>
      <c r="X57" s="127"/>
    </row>
    <row r="58" spans="1:24" ht="15.75" thickBot="1"/>
    <row r="59" spans="1:24" s="102" customFormat="1" ht="12.75">
      <c r="A59" s="106"/>
      <c r="B59" s="143" t="s">
        <v>89</v>
      </c>
      <c r="C59" s="430"/>
      <c r="D59" s="368"/>
      <c r="E59" s="368"/>
      <c r="F59" s="368"/>
      <c r="G59" s="368"/>
      <c r="H59" s="368"/>
      <c r="I59" s="368"/>
      <c r="J59" s="368"/>
      <c r="K59" s="368"/>
      <c r="L59" s="368"/>
      <c r="M59" s="368"/>
      <c r="N59" s="368"/>
      <c r="O59" s="368"/>
      <c r="P59" s="368"/>
      <c r="Q59" s="368"/>
      <c r="R59" s="368"/>
      <c r="S59" s="368"/>
      <c r="T59" s="368"/>
      <c r="U59" s="368"/>
      <c r="V59" s="369"/>
      <c r="W59" s="370"/>
      <c r="X59" s="107"/>
    </row>
    <row r="60" spans="1:24" s="102" customFormat="1" ht="12.75">
      <c r="A60" s="106"/>
      <c r="B60" s="143" t="s">
        <v>90</v>
      </c>
      <c r="C60" s="379">
        <v>-3549245.85</v>
      </c>
      <c r="D60" s="373">
        <v>-3763721.7000000011</v>
      </c>
      <c r="E60" s="373">
        <v>-2305547.5500000026</v>
      </c>
      <c r="F60" s="373">
        <v>4355256.6000000015</v>
      </c>
      <c r="G60" s="373">
        <v>5444070.75</v>
      </c>
      <c r="H60" s="373">
        <v>5444070.75</v>
      </c>
      <c r="I60" s="373"/>
      <c r="J60" s="373"/>
      <c r="K60" s="373"/>
      <c r="L60" s="373"/>
      <c r="M60" s="373"/>
      <c r="N60" s="373"/>
      <c r="O60" s="373"/>
      <c r="P60" s="373"/>
      <c r="Q60" s="373"/>
      <c r="R60" s="373"/>
      <c r="S60" s="373"/>
      <c r="T60" s="373"/>
      <c r="U60" s="373"/>
      <c r="V60" s="373"/>
      <c r="W60" s="374"/>
      <c r="X60" s="107"/>
    </row>
    <row r="61" spans="1:24" s="102" customFormat="1" ht="12.75">
      <c r="A61" s="106"/>
      <c r="B61" s="143" t="s">
        <v>91</v>
      </c>
      <c r="C61" s="379">
        <v>856723.09586009721</v>
      </c>
      <c r="D61" s="373">
        <v>856723.09586009721</v>
      </c>
      <c r="E61" s="373">
        <v>856723.09586009721</v>
      </c>
      <c r="F61" s="373">
        <v>856723.09586009721</v>
      </c>
      <c r="G61" s="373">
        <v>856723.09586009721</v>
      </c>
      <c r="H61" s="373">
        <v>0</v>
      </c>
      <c r="I61" s="373"/>
      <c r="V61" s="150"/>
      <c r="W61" s="376"/>
      <c r="X61" s="107"/>
    </row>
    <row r="62" spans="1:24" s="102" customFormat="1" ht="12.75">
      <c r="A62" s="106"/>
      <c r="B62" s="143" t="s">
        <v>92</v>
      </c>
      <c r="C62" s="379">
        <v>-301685.89725000004</v>
      </c>
      <c r="D62" s="373">
        <v>-319916.34450000012</v>
      </c>
      <c r="E62" s="373">
        <v>-195971.54175000024</v>
      </c>
      <c r="F62" s="373">
        <v>370196.81100000016</v>
      </c>
      <c r="G62" s="373">
        <v>462746.01375000004</v>
      </c>
      <c r="H62" s="373">
        <v>462746.01375000004</v>
      </c>
      <c r="W62" s="378"/>
      <c r="X62" s="107"/>
    </row>
    <row r="63" spans="1:24" s="102" customFormat="1" ht="12.75">
      <c r="A63" s="106"/>
      <c r="B63" s="143" t="s">
        <v>93</v>
      </c>
      <c r="C63" s="379">
        <v>555037.19861009717</v>
      </c>
      <c r="D63" s="373">
        <v>536806.75136009709</v>
      </c>
      <c r="E63" s="373">
        <v>660751.554110097</v>
      </c>
      <c r="F63" s="373">
        <v>1226919.9068600973</v>
      </c>
      <c r="G63" s="373">
        <v>1319469.1096100972</v>
      </c>
      <c r="H63" s="373">
        <v>462746.01375000004</v>
      </c>
      <c r="V63" s="150"/>
      <c r="W63" s="376"/>
      <c r="X63" s="107"/>
    </row>
    <row r="64" spans="1:24" s="102" customFormat="1" ht="12.75">
      <c r="A64" s="106"/>
      <c r="B64" s="381" t="s">
        <v>89</v>
      </c>
      <c r="C64" s="382">
        <v>-6.3946089719533852</v>
      </c>
      <c r="D64" s="383">
        <v>-7.011315879436931</v>
      </c>
      <c r="E64" s="383">
        <v>-3.4892805558439037</v>
      </c>
      <c r="F64" s="383">
        <v>3.5497480932931191</v>
      </c>
      <c r="G64" s="383">
        <v>4.1259554394636195</v>
      </c>
      <c r="H64" s="383">
        <v>11.76470588235294</v>
      </c>
      <c r="I64" s="384">
        <v>11.76470588235294</v>
      </c>
      <c r="J64" s="384">
        <v>11.76470588235294</v>
      </c>
      <c r="K64" s="384">
        <v>11.76470588235294</v>
      </c>
      <c r="L64" s="384">
        <v>11.76470588235294</v>
      </c>
      <c r="M64" s="384">
        <v>11.76470588235294</v>
      </c>
      <c r="N64" s="384">
        <v>11.76470588235294</v>
      </c>
      <c r="O64" s="384">
        <v>11.76470588235294</v>
      </c>
      <c r="P64" s="384">
        <v>11.76470588235294</v>
      </c>
      <c r="Q64" s="384">
        <v>11.76470588235294</v>
      </c>
      <c r="R64" s="384">
        <v>11.76470588235294</v>
      </c>
      <c r="S64" s="384">
        <v>11.76470588235294</v>
      </c>
      <c r="T64" s="384">
        <v>11.76470588235294</v>
      </c>
      <c r="U64" s="384">
        <v>11.76470588235294</v>
      </c>
      <c r="V64" s="384">
        <v>11.76470588235294</v>
      </c>
      <c r="W64" s="385">
        <v>11.76470588235294</v>
      </c>
      <c r="X64" s="107"/>
    </row>
    <row r="65" spans="1:23">
      <c r="A65" s="106"/>
      <c r="B65" s="106"/>
      <c r="C65" s="386"/>
      <c r="D65" s="102"/>
      <c r="E65" s="102"/>
      <c r="F65" s="102"/>
      <c r="G65" s="102"/>
      <c r="H65" s="102"/>
      <c r="I65" s="102"/>
      <c r="J65" s="102"/>
      <c r="K65" s="102"/>
      <c r="L65" s="102"/>
      <c r="M65" s="102"/>
      <c r="N65" s="102"/>
      <c r="O65" s="102"/>
      <c r="P65" s="102"/>
      <c r="Q65" s="102"/>
      <c r="R65" s="102"/>
      <c r="S65" s="102"/>
      <c r="T65" s="102"/>
      <c r="U65" s="102"/>
      <c r="V65" s="150"/>
      <c r="W65" s="376"/>
    </row>
    <row r="66" spans="1:23" ht="15.75" thickBot="1">
      <c r="A66" s="106"/>
      <c r="B66" s="381" t="s">
        <v>94</v>
      </c>
      <c r="C66" s="387">
        <v>8.5245615353890258</v>
      </c>
      <c r="D66" s="388"/>
      <c r="E66" s="388"/>
      <c r="F66" s="388"/>
      <c r="G66" s="388"/>
      <c r="H66" s="388"/>
      <c r="I66" s="388"/>
      <c r="J66" s="388"/>
      <c r="K66" s="388"/>
      <c r="L66" s="388"/>
      <c r="M66" s="388"/>
      <c r="N66" s="388"/>
      <c r="O66" s="388"/>
      <c r="P66" s="388"/>
      <c r="Q66" s="388"/>
      <c r="R66" s="388"/>
      <c r="S66" s="388"/>
      <c r="T66" s="388"/>
      <c r="U66" s="388"/>
      <c r="V66" s="389"/>
      <c r="W66" s="390"/>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dimension ref="A1:X57"/>
  <sheetViews>
    <sheetView showGridLines="0" zoomScale="70" zoomScaleNormal="70" workbookViewId="0">
      <selection sqref="A1:XFD1048576"/>
    </sheetView>
  </sheetViews>
  <sheetFormatPr defaultColWidth="9" defaultRowHeight="15"/>
  <cols>
    <col min="1" max="1" width="76.140625" style="98" customWidth="1"/>
    <col min="2" max="2" width="13.5703125" style="98" customWidth="1"/>
    <col min="3" max="3" width="17.7109375" style="98" bestFit="1" customWidth="1"/>
    <col min="4" max="5" width="15.85546875" style="98" customWidth="1"/>
    <col min="6" max="6" width="15.85546875" style="98" bestFit="1" customWidth="1"/>
    <col min="7" max="21" width="15.85546875" style="98" customWidth="1"/>
    <col min="22" max="22" width="15.85546875" style="99" customWidth="1"/>
    <col min="23" max="23" width="15.85546875" style="100" customWidth="1"/>
    <col min="24" max="24" width="9" style="101"/>
    <col min="25" max="16384" width="9" style="98"/>
  </cols>
  <sheetData>
    <row r="1" spans="1:24" s="18" customFormat="1" ht="15.75" thickBot="1">
      <c r="A1" s="131" t="s">
        <v>32</v>
      </c>
      <c r="B1" s="132"/>
      <c r="C1" s="132"/>
      <c r="D1" s="132"/>
      <c r="E1" s="132"/>
      <c r="F1" s="132"/>
      <c r="G1" s="132"/>
      <c r="H1" s="132"/>
      <c r="I1" s="132"/>
      <c r="J1" s="132"/>
      <c r="K1" s="132"/>
      <c r="L1" s="132"/>
      <c r="M1" s="132"/>
      <c r="N1" s="132"/>
      <c r="O1" s="132"/>
      <c r="P1" s="132"/>
      <c r="Q1" s="132"/>
      <c r="R1" s="132"/>
      <c r="S1" s="132"/>
      <c r="T1" s="132"/>
      <c r="U1" s="132"/>
      <c r="V1" s="132"/>
      <c r="W1" s="133"/>
      <c r="X1" s="17"/>
    </row>
    <row r="2" spans="1:24" s="18" customFormat="1" ht="14.25">
      <c r="A2" s="19"/>
      <c r="B2" s="20" t="s">
        <v>12</v>
      </c>
      <c r="C2" s="20"/>
      <c r="D2" s="20"/>
      <c r="E2" s="20"/>
      <c r="F2" s="20"/>
      <c r="G2" s="20"/>
      <c r="H2" s="20"/>
      <c r="I2" s="20"/>
      <c r="J2" s="20"/>
      <c r="K2" s="20"/>
      <c r="L2" s="20"/>
      <c r="M2" s="20"/>
      <c r="N2" s="20"/>
      <c r="O2" s="20"/>
      <c r="P2" s="20"/>
      <c r="Q2" s="20"/>
      <c r="R2" s="20"/>
      <c r="S2" s="20"/>
      <c r="T2" s="20"/>
      <c r="U2" s="20"/>
      <c r="V2" s="21"/>
      <c r="W2" s="22"/>
      <c r="X2" s="17"/>
    </row>
    <row r="3" spans="1:24" s="18" customFormat="1" ht="14.25">
      <c r="A3" s="23"/>
      <c r="B3" s="24"/>
      <c r="C3" s="25">
        <v>2023</v>
      </c>
      <c r="D3" s="25">
        <v>2024</v>
      </c>
      <c r="E3" s="25">
        <v>2025</v>
      </c>
      <c r="F3" s="25">
        <v>2026</v>
      </c>
      <c r="G3" s="25">
        <v>2027</v>
      </c>
      <c r="H3" s="25">
        <v>2028</v>
      </c>
      <c r="I3" s="25">
        <v>2029</v>
      </c>
      <c r="J3" s="25">
        <v>2030</v>
      </c>
      <c r="K3" s="25">
        <v>2031</v>
      </c>
      <c r="L3" s="25">
        <v>2032</v>
      </c>
      <c r="M3" s="25">
        <v>2033</v>
      </c>
      <c r="N3" s="25">
        <v>2034</v>
      </c>
      <c r="O3" s="25">
        <v>2035</v>
      </c>
      <c r="P3" s="25">
        <v>2036</v>
      </c>
      <c r="Q3" s="25">
        <v>2037</v>
      </c>
      <c r="R3" s="25">
        <v>2038</v>
      </c>
      <c r="S3" s="25">
        <v>2039</v>
      </c>
      <c r="T3" s="25">
        <v>2040</v>
      </c>
      <c r="U3" s="25">
        <v>2041</v>
      </c>
      <c r="V3" s="26">
        <v>2042</v>
      </c>
      <c r="W3" s="27"/>
      <c r="X3" s="17"/>
    </row>
    <row r="4" spans="1:24" s="18" customFormat="1" ht="14.25">
      <c r="A4" s="28" t="s">
        <v>46</v>
      </c>
      <c r="B4" s="29"/>
      <c r="C4" s="30"/>
      <c r="D4" s="30"/>
      <c r="E4" s="30"/>
      <c r="F4" s="30"/>
      <c r="G4" s="30"/>
      <c r="H4" s="30"/>
      <c r="I4" s="30"/>
      <c r="J4" s="31"/>
      <c r="K4" s="32"/>
      <c r="L4" s="32"/>
      <c r="M4" s="32"/>
      <c r="N4" s="32"/>
      <c r="O4" s="32"/>
      <c r="P4" s="32"/>
      <c r="Q4" s="32"/>
      <c r="R4" s="32"/>
      <c r="S4" s="32"/>
      <c r="T4" s="32"/>
      <c r="U4" s="32"/>
      <c r="V4" s="33"/>
      <c r="W4" s="34"/>
      <c r="X4" s="17"/>
    </row>
    <row r="5" spans="1:24" s="18" customFormat="1" ht="14.25">
      <c r="A5" s="28" t="s">
        <v>13</v>
      </c>
      <c r="B5" s="35" t="s">
        <v>1</v>
      </c>
      <c r="C5" s="36">
        <v>3100.2568690833477</v>
      </c>
      <c r="D5" s="36">
        <v>56674.014825085775</v>
      </c>
      <c r="E5" s="36">
        <v>137065.08440821961</v>
      </c>
      <c r="F5" s="36">
        <v>274022.60869565187</v>
      </c>
      <c r="G5" s="36">
        <v>274022.60869565187</v>
      </c>
      <c r="H5" s="36">
        <v>274022.60869565187</v>
      </c>
      <c r="I5" s="36">
        <v>274022.60869565187</v>
      </c>
      <c r="J5" s="36">
        <v>274022.60869565187</v>
      </c>
      <c r="K5" s="36">
        <v>274022.60869565187</v>
      </c>
      <c r="L5" s="36">
        <v>274022.60869565187</v>
      </c>
      <c r="M5" s="36">
        <v>274022.60869565187</v>
      </c>
      <c r="N5" s="36">
        <v>274022.60869565187</v>
      </c>
      <c r="O5" s="36">
        <v>274022.60869565187</v>
      </c>
      <c r="P5" s="36">
        <v>274022.60869565187</v>
      </c>
      <c r="Q5" s="36">
        <v>274022.60869565187</v>
      </c>
      <c r="R5" s="36">
        <v>274022.60869565187</v>
      </c>
      <c r="S5" s="36">
        <v>274022.60869565187</v>
      </c>
      <c r="T5" s="36">
        <v>274022.60869565187</v>
      </c>
      <c r="U5" s="36">
        <v>274022.60869565187</v>
      </c>
      <c r="V5" s="37">
        <v>274022.60869565187</v>
      </c>
      <c r="W5" s="5"/>
      <c r="X5" s="17"/>
    </row>
    <row r="6" spans="1:24" s="18" customFormat="1" ht="14.25">
      <c r="A6" s="38" t="s">
        <v>14</v>
      </c>
      <c r="B6" s="35" t="s">
        <v>1</v>
      </c>
      <c r="C6" s="36">
        <v>696.05369617425401</v>
      </c>
      <c r="D6" s="36">
        <v>11038.06119379337</v>
      </c>
      <c r="E6" s="36">
        <v>75093.414537935707</v>
      </c>
      <c r="F6" s="36">
        <v>130493.07692307679</v>
      </c>
      <c r="G6" s="36">
        <v>130493.07692307679</v>
      </c>
      <c r="H6" s="36">
        <v>130493.07692307679</v>
      </c>
      <c r="I6" s="36">
        <v>130493.07692307679</v>
      </c>
      <c r="J6" s="36">
        <v>130493.07692307679</v>
      </c>
      <c r="K6" s="36">
        <v>130493.07692307679</v>
      </c>
      <c r="L6" s="36">
        <v>130493.07692307679</v>
      </c>
      <c r="M6" s="36">
        <v>130493.07692307679</v>
      </c>
      <c r="N6" s="36">
        <v>130493.07692307679</v>
      </c>
      <c r="O6" s="36">
        <v>130493.07692307679</v>
      </c>
      <c r="P6" s="36">
        <v>130493.07692307679</v>
      </c>
      <c r="Q6" s="36">
        <v>130493.07692307679</v>
      </c>
      <c r="R6" s="36">
        <v>130493.07692307679</v>
      </c>
      <c r="S6" s="36">
        <v>130493.07692307679</v>
      </c>
      <c r="T6" s="36">
        <v>130493.07692307679</v>
      </c>
      <c r="U6" s="36">
        <v>130493.07692307679</v>
      </c>
      <c r="V6" s="37">
        <v>130493.07692307679</v>
      </c>
      <c r="W6" s="5"/>
      <c r="X6" s="17"/>
    </row>
    <row r="7" spans="1:24" s="18" customFormat="1" ht="14.25">
      <c r="A7" s="38" t="s">
        <v>15</v>
      </c>
      <c r="B7" s="35" t="s">
        <v>1</v>
      </c>
      <c r="C7" s="36">
        <v>1103.3796207182513</v>
      </c>
      <c r="D7" s="36">
        <v>26289.122843233064</v>
      </c>
      <c r="E7" s="36">
        <v>81883.037438676663</v>
      </c>
      <c r="F7" s="36">
        <v>188989.09090909071</v>
      </c>
      <c r="G7" s="36">
        <v>188989.09090909071</v>
      </c>
      <c r="H7" s="36">
        <v>188989.09090909071</v>
      </c>
      <c r="I7" s="36">
        <v>188989.09090909071</v>
      </c>
      <c r="J7" s="36">
        <v>188989.09090909071</v>
      </c>
      <c r="K7" s="36">
        <v>188989.09090909071</v>
      </c>
      <c r="L7" s="36">
        <v>188989.09090909071</v>
      </c>
      <c r="M7" s="36">
        <v>188989.09090909071</v>
      </c>
      <c r="N7" s="36">
        <v>188989.09090909071</v>
      </c>
      <c r="O7" s="36">
        <v>188989.09090909071</v>
      </c>
      <c r="P7" s="36">
        <v>188989.09090909071</v>
      </c>
      <c r="Q7" s="36">
        <v>188989.09090909071</v>
      </c>
      <c r="R7" s="36">
        <v>188989.09090909071</v>
      </c>
      <c r="S7" s="36">
        <v>188989.09090909071</v>
      </c>
      <c r="T7" s="36">
        <v>188989.09090909071</v>
      </c>
      <c r="U7" s="36">
        <v>188989.09090909071</v>
      </c>
      <c r="V7" s="37">
        <v>188989.09090909071</v>
      </c>
      <c r="W7" s="5"/>
      <c r="X7" s="17"/>
    </row>
    <row r="8" spans="1:24" s="18" customFormat="1" ht="14.25">
      <c r="A8" s="39" t="s">
        <v>16</v>
      </c>
      <c r="B8" s="40" t="s">
        <v>1</v>
      </c>
      <c r="C8" s="36">
        <v>800.25335129016025</v>
      </c>
      <c r="D8" s="36">
        <v>40107.764337753011</v>
      </c>
      <c r="E8" s="36">
        <v>135718.35571849439</v>
      </c>
      <c r="F8" s="36">
        <v>240996.92307692283</v>
      </c>
      <c r="G8" s="36">
        <v>240996.92307692283</v>
      </c>
      <c r="H8" s="36">
        <v>240996.92307692283</v>
      </c>
      <c r="I8" s="36">
        <v>240996.92307692283</v>
      </c>
      <c r="J8" s="36">
        <v>240996.92307692283</v>
      </c>
      <c r="K8" s="36">
        <v>240996.92307692283</v>
      </c>
      <c r="L8" s="36">
        <v>240996.92307692283</v>
      </c>
      <c r="M8" s="36">
        <v>240996.92307692283</v>
      </c>
      <c r="N8" s="36">
        <v>240996.92307692283</v>
      </c>
      <c r="O8" s="36">
        <v>240996.92307692283</v>
      </c>
      <c r="P8" s="36">
        <v>240996.92307692283</v>
      </c>
      <c r="Q8" s="36">
        <v>240996.92307692283</v>
      </c>
      <c r="R8" s="36">
        <v>240996.92307692283</v>
      </c>
      <c r="S8" s="36">
        <v>240996.92307692283</v>
      </c>
      <c r="T8" s="36">
        <v>240996.92307692283</v>
      </c>
      <c r="U8" s="36">
        <v>240996.92307692283</v>
      </c>
      <c r="V8" s="37">
        <v>240996.92307692283</v>
      </c>
      <c r="W8" s="5"/>
      <c r="X8" s="17"/>
    </row>
    <row r="9" spans="1:24" s="18" customFormat="1" ht="14.25">
      <c r="A9" s="39" t="s">
        <v>17</v>
      </c>
      <c r="B9" s="40" t="s">
        <v>1</v>
      </c>
      <c r="C9" s="36">
        <v>14369.132440483478</v>
      </c>
      <c r="D9" s="36">
        <v>160725.96738290723</v>
      </c>
      <c r="E9" s="36">
        <v>426157.67476922122</v>
      </c>
      <c r="F9" s="36">
        <v>692232.69230769167</v>
      </c>
      <c r="G9" s="36">
        <v>692232.69230769167</v>
      </c>
      <c r="H9" s="36">
        <v>692232.69230769167</v>
      </c>
      <c r="I9" s="36">
        <v>692232.69230769167</v>
      </c>
      <c r="J9" s="36">
        <v>692232.69230769167</v>
      </c>
      <c r="K9" s="36">
        <v>692232.69230769167</v>
      </c>
      <c r="L9" s="36">
        <v>692232.69230769167</v>
      </c>
      <c r="M9" s="36">
        <v>692232.69230769167</v>
      </c>
      <c r="N9" s="36">
        <v>692232.69230769167</v>
      </c>
      <c r="O9" s="36">
        <v>692232.69230769167</v>
      </c>
      <c r="P9" s="36">
        <v>692232.69230769167</v>
      </c>
      <c r="Q9" s="36">
        <v>692232.69230769167</v>
      </c>
      <c r="R9" s="36">
        <v>692232.69230769167</v>
      </c>
      <c r="S9" s="36">
        <v>692232.69230769167</v>
      </c>
      <c r="T9" s="36">
        <v>692232.69230769167</v>
      </c>
      <c r="U9" s="36">
        <v>692232.69230769167</v>
      </c>
      <c r="V9" s="37">
        <v>692232.69230769167</v>
      </c>
      <c r="W9" s="5"/>
      <c r="X9" s="17"/>
    </row>
    <row r="10" spans="1:24" s="18" customFormat="1" ht="14.25">
      <c r="A10" s="151" t="s">
        <v>47</v>
      </c>
      <c r="B10" s="54" t="s">
        <v>1</v>
      </c>
      <c r="C10" s="36">
        <v>175.4312226295668</v>
      </c>
      <c r="D10" s="36">
        <v>1773.2587983396618</v>
      </c>
      <c r="E10" s="36">
        <v>4288.594475301953</v>
      </c>
      <c r="F10" s="36">
        <v>5924.9999999999936</v>
      </c>
      <c r="G10" s="36">
        <v>5924.9999999999936</v>
      </c>
      <c r="H10" s="36">
        <v>5924.9999999999936</v>
      </c>
      <c r="I10" s="36">
        <v>5924.9999999999936</v>
      </c>
      <c r="J10" s="36">
        <v>5924.9999999999936</v>
      </c>
      <c r="K10" s="36">
        <v>5924.9999999999936</v>
      </c>
      <c r="L10" s="36">
        <v>5924.9999999999936</v>
      </c>
      <c r="M10" s="36">
        <v>5924.9999999999936</v>
      </c>
      <c r="N10" s="36">
        <v>5924.9999999999936</v>
      </c>
      <c r="O10" s="36">
        <v>5924.9999999999936</v>
      </c>
      <c r="P10" s="36">
        <v>5924.9999999999936</v>
      </c>
      <c r="Q10" s="36">
        <v>5924.9999999999936</v>
      </c>
      <c r="R10" s="36">
        <v>5924.9999999999936</v>
      </c>
      <c r="S10" s="36">
        <v>5924.9999999999936</v>
      </c>
      <c r="T10" s="36">
        <v>5924.9999999999936</v>
      </c>
      <c r="U10" s="36">
        <v>5924.9999999999936</v>
      </c>
      <c r="V10" s="37">
        <v>5924.9999999999936</v>
      </c>
      <c r="W10" s="5"/>
      <c r="X10" s="17"/>
    </row>
    <row r="11" spans="1:24" s="18" customFormat="1" ht="14.25">
      <c r="A11" s="53" t="s">
        <v>19</v>
      </c>
      <c r="B11" s="54" t="s">
        <v>1</v>
      </c>
      <c r="C11" s="36">
        <v>20244.507200379056</v>
      </c>
      <c r="D11" s="36">
        <v>296608.18938111211</v>
      </c>
      <c r="E11" s="36">
        <v>860206.16134784953</v>
      </c>
      <c r="F11" s="36">
        <v>1532659.3919124338</v>
      </c>
      <c r="G11" s="36">
        <v>1532659.3919124338</v>
      </c>
      <c r="H11" s="36">
        <v>1532659.3919124338</v>
      </c>
      <c r="I11" s="36">
        <v>1532659.3919124338</v>
      </c>
      <c r="J11" s="36">
        <v>1532659.3919124338</v>
      </c>
      <c r="K11" s="36">
        <v>1532659.3919124338</v>
      </c>
      <c r="L11" s="36">
        <v>1532659.3919124338</v>
      </c>
      <c r="M11" s="36">
        <v>1532659.3919124338</v>
      </c>
      <c r="N11" s="36">
        <v>1532659.3919124338</v>
      </c>
      <c r="O11" s="36">
        <v>1532659.3919124338</v>
      </c>
      <c r="P11" s="36">
        <v>1532659.3919124338</v>
      </c>
      <c r="Q11" s="36">
        <v>1532659.3919124338</v>
      </c>
      <c r="R11" s="36">
        <v>1532659.3919124338</v>
      </c>
      <c r="S11" s="36">
        <v>1532659.3919124338</v>
      </c>
      <c r="T11" s="36">
        <v>1532659.3919124338</v>
      </c>
      <c r="U11" s="36">
        <v>1532659.3919124338</v>
      </c>
      <c r="V11" s="37">
        <v>1532659.3919124338</v>
      </c>
      <c r="W11" s="5"/>
      <c r="X11" s="17"/>
    </row>
    <row r="12" spans="1:24" s="18" customFormat="1" ht="14.25">
      <c r="A12" s="49"/>
      <c r="B12" s="144"/>
      <c r="C12" s="36"/>
      <c r="D12" s="36"/>
      <c r="E12" s="36"/>
      <c r="F12" s="36"/>
      <c r="G12" s="36"/>
      <c r="H12" s="36"/>
      <c r="I12" s="36"/>
      <c r="J12" s="36"/>
      <c r="K12" s="36"/>
      <c r="L12" s="36"/>
      <c r="M12" s="36"/>
      <c r="N12" s="36"/>
      <c r="O12" s="36"/>
      <c r="P12" s="36"/>
      <c r="Q12" s="36"/>
      <c r="R12" s="36"/>
      <c r="S12" s="36"/>
      <c r="T12" s="36"/>
      <c r="U12" s="36"/>
      <c r="V12" s="37"/>
      <c r="W12" s="5"/>
      <c r="X12" s="17"/>
    </row>
    <row r="13" spans="1:24" s="18" customFormat="1" ht="14.25">
      <c r="A13" s="49" t="s">
        <v>3</v>
      </c>
      <c r="B13" s="144"/>
      <c r="C13" s="36"/>
      <c r="D13" s="36"/>
      <c r="E13" s="36"/>
      <c r="F13" s="36"/>
      <c r="G13" s="36"/>
      <c r="H13" s="36"/>
      <c r="I13" s="36"/>
      <c r="J13" s="36"/>
      <c r="K13" s="36"/>
      <c r="L13" s="36"/>
      <c r="M13" s="36"/>
      <c r="N13" s="36"/>
      <c r="O13" s="36"/>
      <c r="P13" s="36"/>
      <c r="Q13" s="36"/>
      <c r="R13" s="36"/>
      <c r="S13" s="36"/>
      <c r="T13" s="36"/>
      <c r="U13" s="36"/>
      <c r="V13" s="37"/>
      <c r="W13" s="5"/>
      <c r="X13" s="17"/>
    </row>
    <row r="14" spans="1:24" s="18" customFormat="1" ht="14.25">
      <c r="A14" s="51" t="s">
        <v>20</v>
      </c>
      <c r="B14" s="35" t="s">
        <v>1</v>
      </c>
      <c r="C14" s="36">
        <v>102462.22752479999</v>
      </c>
      <c r="D14" s="36">
        <v>933225.96829587861</v>
      </c>
      <c r="E14" s="36">
        <v>1469105.0576462231</v>
      </c>
      <c r="F14" s="36">
        <v>955757.77607441426</v>
      </c>
      <c r="G14" s="36"/>
      <c r="H14" s="36"/>
      <c r="I14" s="36"/>
      <c r="J14" s="36"/>
      <c r="K14" s="36"/>
      <c r="L14" s="36"/>
      <c r="M14" s="36"/>
      <c r="N14" s="36"/>
      <c r="O14" s="36"/>
      <c r="P14" s="36"/>
      <c r="Q14" s="36"/>
      <c r="R14" s="36"/>
      <c r="S14" s="36"/>
      <c r="T14" s="36"/>
      <c r="U14" s="36"/>
      <c r="V14" s="37"/>
      <c r="W14" s="5"/>
      <c r="X14" s="17"/>
    </row>
    <row r="15" spans="1:24" s="18" customFormat="1" ht="14.25">
      <c r="A15" s="51" t="s">
        <v>13</v>
      </c>
      <c r="B15" s="35" t="s">
        <v>1</v>
      </c>
      <c r="C15" s="36">
        <v>6284.1805246367003</v>
      </c>
      <c r="D15" s="36">
        <v>63520.49674302779</v>
      </c>
      <c r="E15" s="36">
        <v>153623.1776521572</v>
      </c>
      <c r="F15" s="36">
        <v>212241.40748932515</v>
      </c>
      <c r="G15" s="36">
        <v>212241.40748932515</v>
      </c>
      <c r="H15" s="36">
        <v>212241.40748932515</v>
      </c>
      <c r="I15" s="36">
        <v>212241.40748932515</v>
      </c>
      <c r="J15" s="36">
        <v>212241.40748932515</v>
      </c>
      <c r="K15" s="36">
        <v>212241.40748932515</v>
      </c>
      <c r="L15" s="36">
        <v>212241.40748932515</v>
      </c>
      <c r="M15" s="36">
        <v>212241.40748932515</v>
      </c>
      <c r="N15" s="36">
        <v>212241.40748932515</v>
      </c>
      <c r="O15" s="36">
        <v>212241.40748932515</v>
      </c>
      <c r="P15" s="36">
        <v>212241.40748932515</v>
      </c>
      <c r="Q15" s="36">
        <v>212241.40748932515</v>
      </c>
      <c r="R15" s="36">
        <v>212241.40748932515</v>
      </c>
      <c r="S15" s="36">
        <v>212241.40748932515</v>
      </c>
      <c r="T15" s="36">
        <v>212241.40748932515</v>
      </c>
      <c r="U15" s="36">
        <v>212241.40748932515</v>
      </c>
      <c r="V15" s="37">
        <v>212241.40748932515</v>
      </c>
      <c r="W15" s="5"/>
      <c r="X15" s="17"/>
    </row>
    <row r="16" spans="1:24" s="48" customFormat="1" ht="14.25">
      <c r="A16" s="38" t="s">
        <v>14</v>
      </c>
      <c r="B16" s="35" t="s">
        <v>1</v>
      </c>
      <c r="C16" s="36">
        <v>2890.3959574918335</v>
      </c>
      <c r="D16" s="36">
        <v>29216.122338327466</v>
      </c>
      <c r="E16" s="36">
        <v>70658.665823180694</v>
      </c>
      <c r="F16" s="36">
        <v>97620.000541755231</v>
      </c>
      <c r="G16" s="36">
        <v>97620.000541755231</v>
      </c>
      <c r="H16" s="36">
        <v>97620.000541755231</v>
      </c>
      <c r="I16" s="36">
        <v>97620.000541755231</v>
      </c>
      <c r="J16" s="36">
        <v>97620.000541755231</v>
      </c>
      <c r="K16" s="36">
        <v>97620.000541755231</v>
      </c>
      <c r="L16" s="36">
        <v>97620.000541755231</v>
      </c>
      <c r="M16" s="36">
        <v>97620.000541755231</v>
      </c>
      <c r="N16" s="36">
        <v>97620.000541755231</v>
      </c>
      <c r="O16" s="36">
        <v>97620.000541755231</v>
      </c>
      <c r="P16" s="36">
        <v>97620.000541755231</v>
      </c>
      <c r="Q16" s="36">
        <v>97620.000541755231</v>
      </c>
      <c r="R16" s="36">
        <v>97620.000541755231</v>
      </c>
      <c r="S16" s="36">
        <v>97620.000541755231</v>
      </c>
      <c r="T16" s="36">
        <v>97620.000541755231</v>
      </c>
      <c r="U16" s="36">
        <v>97620.000541755231</v>
      </c>
      <c r="V16" s="37">
        <v>97620.000541755231</v>
      </c>
      <c r="W16" s="5"/>
      <c r="X16" s="47"/>
    </row>
    <row r="17" spans="1:24" s="48" customFormat="1" ht="14.25">
      <c r="A17" s="38" t="s">
        <v>15</v>
      </c>
      <c r="B17" s="35" t="s">
        <v>1</v>
      </c>
      <c r="C17" s="36">
        <v>3787.639495975799</v>
      </c>
      <c r="D17" s="36">
        <v>38285.460025323388</v>
      </c>
      <c r="E17" s="36">
        <v>92592.69572085634</v>
      </c>
      <c r="F17" s="36">
        <v>127923.43162906451</v>
      </c>
      <c r="G17" s="36">
        <v>127923.43162906451</v>
      </c>
      <c r="H17" s="36">
        <v>127923.43162906451</v>
      </c>
      <c r="I17" s="36">
        <v>127923.43162906451</v>
      </c>
      <c r="J17" s="36">
        <v>127923.43162906451</v>
      </c>
      <c r="K17" s="36">
        <v>127923.43162906451</v>
      </c>
      <c r="L17" s="36">
        <v>127923.43162906451</v>
      </c>
      <c r="M17" s="36">
        <v>127923.43162906451</v>
      </c>
      <c r="N17" s="36">
        <v>127923.43162906451</v>
      </c>
      <c r="O17" s="36">
        <v>127923.43162906451</v>
      </c>
      <c r="P17" s="36">
        <v>127923.43162906451</v>
      </c>
      <c r="Q17" s="36">
        <v>127923.43162906451</v>
      </c>
      <c r="R17" s="36">
        <v>127923.43162906451</v>
      </c>
      <c r="S17" s="36">
        <v>127923.43162906451</v>
      </c>
      <c r="T17" s="36">
        <v>127923.43162906451</v>
      </c>
      <c r="U17" s="36">
        <v>127923.43162906451</v>
      </c>
      <c r="V17" s="37">
        <v>127923.43162906451</v>
      </c>
      <c r="W17" s="5"/>
      <c r="X17" s="47"/>
    </row>
    <row r="18" spans="1:24" s="48" customFormat="1" ht="14.25">
      <c r="A18" s="39" t="s">
        <v>16</v>
      </c>
      <c r="B18" s="40" t="s">
        <v>1</v>
      </c>
      <c r="C18" s="36">
        <v>5579.8713885749576</v>
      </c>
      <c r="D18" s="36">
        <v>56401.339995715687</v>
      </c>
      <c r="E18" s="36">
        <v>136405.62524304565</v>
      </c>
      <c r="F18" s="36">
        <v>188454.12738823713</v>
      </c>
      <c r="G18" s="36">
        <v>188454.12738823713</v>
      </c>
      <c r="H18" s="36">
        <v>188454.12738823713</v>
      </c>
      <c r="I18" s="36">
        <v>188454.12738823713</v>
      </c>
      <c r="J18" s="36">
        <v>188454.12738823713</v>
      </c>
      <c r="K18" s="36">
        <v>188454.12738823713</v>
      </c>
      <c r="L18" s="36">
        <v>188454.12738823713</v>
      </c>
      <c r="M18" s="36">
        <v>188454.12738823713</v>
      </c>
      <c r="N18" s="36">
        <v>188454.12738823713</v>
      </c>
      <c r="O18" s="36">
        <v>188454.12738823713</v>
      </c>
      <c r="P18" s="36">
        <v>188454.12738823713</v>
      </c>
      <c r="Q18" s="36">
        <v>188454.12738823713</v>
      </c>
      <c r="R18" s="36">
        <v>188454.12738823713</v>
      </c>
      <c r="S18" s="36">
        <v>188454.12738823713</v>
      </c>
      <c r="T18" s="36">
        <v>188454.12738823713</v>
      </c>
      <c r="U18" s="36">
        <v>188454.12738823713</v>
      </c>
      <c r="V18" s="37">
        <v>188454.12738823713</v>
      </c>
      <c r="W18" s="5"/>
      <c r="X18" s="47"/>
    </row>
    <row r="19" spans="1:24" s="18" customFormat="1" thickBot="1">
      <c r="A19" s="39" t="s">
        <v>17</v>
      </c>
      <c r="B19" s="40" t="s">
        <v>1</v>
      </c>
      <c r="C19" s="36">
        <v>13244.48495954845</v>
      </c>
      <c r="D19" s="36">
        <v>133875.25397111574</v>
      </c>
      <c r="E19" s="36">
        <v>323774.89123288088</v>
      </c>
      <c r="F19" s="36">
        <v>447318.16953146353</v>
      </c>
      <c r="G19" s="36">
        <v>447318.16953146353</v>
      </c>
      <c r="H19" s="36">
        <v>447318.16953146353</v>
      </c>
      <c r="I19" s="36">
        <v>447318.16953146353</v>
      </c>
      <c r="J19" s="36">
        <v>447318.16953146353</v>
      </c>
      <c r="K19" s="36">
        <v>447318.16953146353</v>
      </c>
      <c r="L19" s="36">
        <v>447318.16953146353</v>
      </c>
      <c r="M19" s="36">
        <v>447318.16953146353</v>
      </c>
      <c r="N19" s="36">
        <v>447318.16953146353</v>
      </c>
      <c r="O19" s="36">
        <v>447318.16953146353</v>
      </c>
      <c r="P19" s="36">
        <v>447318.16953146353</v>
      </c>
      <c r="Q19" s="36">
        <v>447318.16953146353</v>
      </c>
      <c r="R19" s="36">
        <v>447318.16953146353</v>
      </c>
      <c r="S19" s="36">
        <v>447318.16953146353</v>
      </c>
      <c r="T19" s="36">
        <v>447318.16953146353</v>
      </c>
      <c r="U19" s="36">
        <v>447318.16953146353</v>
      </c>
      <c r="V19" s="37">
        <v>447318.16953146353</v>
      </c>
      <c r="W19" s="5"/>
      <c r="X19" s="17"/>
    </row>
    <row r="20" spans="1:24" s="48" customFormat="1" thickBot="1">
      <c r="A20" s="52" t="s">
        <v>21</v>
      </c>
      <c r="B20" s="44" t="s">
        <v>1</v>
      </c>
      <c r="C20" s="36">
        <v>134248.79985102772</v>
      </c>
      <c r="D20" s="36">
        <v>1254524.6413693887</v>
      </c>
      <c r="E20" s="36">
        <v>2246160.1133183436</v>
      </c>
      <c r="F20" s="36">
        <v>2029314.9126542597</v>
      </c>
      <c r="G20" s="36">
        <v>1073557.1365798456</v>
      </c>
      <c r="H20" s="36">
        <v>1073557.1365798456</v>
      </c>
      <c r="I20" s="36">
        <v>1073557.1365798456</v>
      </c>
      <c r="J20" s="36">
        <v>1073557.1365798456</v>
      </c>
      <c r="K20" s="36">
        <v>1073557.1365798456</v>
      </c>
      <c r="L20" s="36">
        <v>1073557.1365798456</v>
      </c>
      <c r="M20" s="36">
        <v>1073557.1365798456</v>
      </c>
      <c r="N20" s="36">
        <v>1073557.1365798456</v>
      </c>
      <c r="O20" s="36">
        <v>1073557.1365798456</v>
      </c>
      <c r="P20" s="36">
        <v>1073557.1365798456</v>
      </c>
      <c r="Q20" s="36">
        <v>1073557.1365798456</v>
      </c>
      <c r="R20" s="36">
        <v>1073557.1365798456</v>
      </c>
      <c r="S20" s="36">
        <v>1073557.1365798456</v>
      </c>
      <c r="T20" s="36">
        <v>1073557.1365798456</v>
      </c>
      <c r="U20" s="36">
        <v>1073557.1365798456</v>
      </c>
      <c r="V20" s="37">
        <v>1073557.1365798456</v>
      </c>
      <c r="W20" s="5"/>
      <c r="X20" s="47"/>
    </row>
    <row r="21" spans="1:24" s="48" customFormat="1" ht="14.25">
      <c r="A21" s="53" t="s">
        <v>0</v>
      </c>
      <c r="B21" s="54" t="s">
        <v>1</v>
      </c>
      <c r="C21" s="36">
        <v>-114004.29265064867</v>
      </c>
      <c r="D21" s="36">
        <v>-957916.45198827656</v>
      </c>
      <c r="E21" s="36">
        <v>-1385953.9519704941</v>
      </c>
      <c r="F21" s="36">
        <v>-496655.52074182592</v>
      </c>
      <c r="G21" s="36">
        <v>459102.25533258822</v>
      </c>
      <c r="H21" s="36">
        <v>459102.25533258822</v>
      </c>
      <c r="I21" s="36">
        <v>459102.25533258822</v>
      </c>
      <c r="J21" s="36">
        <v>459102.25533258822</v>
      </c>
      <c r="K21" s="36">
        <v>459102.25533258822</v>
      </c>
      <c r="L21" s="36">
        <v>459102.25533258822</v>
      </c>
      <c r="M21" s="36">
        <v>459102.25533258822</v>
      </c>
      <c r="N21" s="36">
        <v>459102.25533258822</v>
      </c>
      <c r="O21" s="36">
        <v>459102.25533258822</v>
      </c>
      <c r="P21" s="36">
        <v>459102.25533258822</v>
      </c>
      <c r="Q21" s="36">
        <v>459102.25533258822</v>
      </c>
      <c r="R21" s="36">
        <v>459102.25533258822</v>
      </c>
      <c r="S21" s="36">
        <v>459102.25533258822</v>
      </c>
      <c r="T21" s="36">
        <v>459102.25533258822</v>
      </c>
      <c r="U21" s="36">
        <v>459102.25533258822</v>
      </c>
      <c r="V21" s="37">
        <v>459102.25533258822</v>
      </c>
      <c r="W21" s="5"/>
      <c r="X21" s="47"/>
    </row>
    <row r="22" spans="1:24" s="18" customFormat="1" ht="14.25">
      <c r="A22" s="55"/>
      <c r="B22" s="56"/>
      <c r="C22" s="36"/>
      <c r="D22" s="36"/>
      <c r="E22" s="36"/>
      <c r="F22" s="36"/>
      <c r="G22" s="36"/>
      <c r="H22" s="36"/>
      <c r="I22" s="36"/>
      <c r="J22" s="36"/>
      <c r="K22" s="36"/>
      <c r="L22" s="36"/>
      <c r="M22" s="36"/>
      <c r="N22" s="36"/>
      <c r="O22" s="36"/>
      <c r="P22" s="36"/>
      <c r="Q22" s="36"/>
      <c r="R22" s="36"/>
      <c r="S22" s="36"/>
      <c r="T22" s="36"/>
      <c r="U22" s="36"/>
      <c r="V22" s="37"/>
      <c r="W22" s="5"/>
      <c r="X22" s="17"/>
    </row>
    <row r="23" spans="1:24" s="18" customFormat="1" ht="14.25">
      <c r="A23" s="57" t="s">
        <v>36</v>
      </c>
      <c r="B23" s="54" t="s">
        <v>1</v>
      </c>
      <c r="C23" s="36">
        <v>490.47723877005188</v>
      </c>
      <c r="D23" s="36">
        <v>5078.6645131337273</v>
      </c>
      <c r="E23" s="36">
        <v>12575.10293522356</v>
      </c>
      <c r="F23" s="36">
        <v>17777.436765597577</v>
      </c>
      <c r="G23" s="36">
        <v>18181.469419361158</v>
      </c>
      <c r="H23" s="36">
        <v>18585.502073124739</v>
      </c>
      <c r="I23" s="36">
        <v>18989.534726888323</v>
      </c>
      <c r="J23" s="36">
        <v>19393.567380651904</v>
      </c>
      <c r="K23" s="36">
        <v>19797.600034415485</v>
      </c>
      <c r="L23" s="36">
        <v>20201.632688179066</v>
      </c>
      <c r="M23" s="36">
        <v>20605.665341942648</v>
      </c>
      <c r="N23" s="36">
        <v>21009.697995706229</v>
      </c>
      <c r="O23" s="36">
        <v>21413.73064946981</v>
      </c>
      <c r="P23" s="36">
        <v>22221.795956996972</v>
      </c>
      <c r="Q23" s="36">
        <v>22625.828610760553</v>
      </c>
      <c r="R23" s="36">
        <v>23029.861264524134</v>
      </c>
      <c r="S23" s="36">
        <v>23433.893918287718</v>
      </c>
      <c r="T23" s="36">
        <v>24241.95922581488</v>
      </c>
      <c r="U23" s="36">
        <v>24645.991879578458</v>
      </c>
      <c r="V23" s="37">
        <v>25454.05718710562</v>
      </c>
      <c r="W23" s="5"/>
      <c r="X23" s="17"/>
    </row>
    <row r="24" spans="1:24" s="18" customFormat="1" ht="14.25">
      <c r="A24" s="57" t="s">
        <v>37</v>
      </c>
      <c r="B24" s="54" t="s">
        <v>1</v>
      </c>
      <c r="C24" s="36">
        <v>980.95447754010377</v>
      </c>
      <c r="D24" s="36">
        <v>10157.329026267455</v>
      </c>
      <c r="E24" s="36">
        <v>25150.20587044712</v>
      </c>
      <c r="F24" s="36">
        <v>35150.840877431576</v>
      </c>
      <c r="G24" s="36">
        <v>35958.906184958738</v>
      </c>
      <c r="H24" s="36">
        <v>36766.9714924859</v>
      </c>
      <c r="I24" s="36">
        <v>37979.069453776647</v>
      </c>
      <c r="J24" s="36">
        <v>38787.134761303809</v>
      </c>
      <c r="K24" s="36">
        <v>39595.200068830971</v>
      </c>
      <c r="L24" s="36">
        <v>40403.265376358133</v>
      </c>
      <c r="M24" s="36">
        <v>41211.330683885295</v>
      </c>
      <c r="N24" s="36">
        <v>42423.428645176034</v>
      </c>
      <c r="O24" s="36">
        <v>43231.493952703197</v>
      </c>
      <c r="P24" s="36">
        <v>44039.559260230359</v>
      </c>
      <c r="Q24" s="36">
        <v>45251.657221521105</v>
      </c>
      <c r="R24" s="36">
        <v>46059.722529048267</v>
      </c>
      <c r="S24" s="36">
        <v>47271.820490339014</v>
      </c>
      <c r="T24" s="36">
        <v>48483.918451629761</v>
      </c>
      <c r="U24" s="36">
        <v>49291.983759156916</v>
      </c>
      <c r="V24" s="37">
        <v>50504.08172044767</v>
      </c>
      <c r="W24" s="5"/>
      <c r="X24" s="17"/>
    </row>
    <row r="25" spans="1:24" s="18" customFormat="1" ht="14.25">
      <c r="A25" s="58"/>
      <c r="B25" s="54"/>
      <c r="C25" s="36"/>
      <c r="D25" s="36"/>
      <c r="E25" s="36"/>
      <c r="F25" s="36"/>
      <c r="G25" s="36"/>
      <c r="H25" s="36"/>
      <c r="I25" s="36"/>
      <c r="J25" s="36"/>
      <c r="K25" s="36"/>
      <c r="L25" s="36"/>
      <c r="M25" s="36"/>
      <c r="N25" s="36"/>
      <c r="O25" s="36"/>
      <c r="P25" s="36"/>
      <c r="Q25" s="36"/>
      <c r="R25" s="36"/>
      <c r="S25" s="36"/>
      <c r="T25" s="36"/>
      <c r="U25" s="36"/>
      <c r="V25" s="37"/>
      <c r="W25" s="5"/>
      <c r="X25" s="17"/>
    </row>
    <row r="26" spans="1:24" s="48" customFormat="1" ht="14.25">
      <c r="A26" s="59" t="s">
        <v>38</v>
      </c>
      <c r="B26" s="54"/>
      <c r="C26" s="36">
        <v>-113513.81541187862</v>
      </c>
      <c r="D26" s="36">
        <v>-952837.78747514286</v>
      </c>
      <c r="E26" s="36">
        <v>-1373378.8490352705</v>
      </c>
      <c r="F26" s="36">
        <v>-478878.08397622837</v>
      </c>
      <c r="G26" s="36">
        <v>477283.72475194937</v>
      </c>
      <c r="H26" s="36">
        <v>477687.75740571297</v>
      </c>
      <c r="I26" s="36">
        <v>478091.79005947657</v>
      </c>
      <c r="J26" s="36">
        <v>478495.82271324011</v>
      </c>
      <c r="K26" s="36">
        <v>478899.85536700371</v>
      </c>
      <c r="L26" s="36">
        <v>479303.88802076731</v>
      </c>
      <c r="M26" s="36">
        <v>479707.92067453085</v>
      </c>
      <c r="N26" s="36">
        <v>480111.95332829445</v>
      </c>
      <c r="O26" s="36">
        <v>480515.98598205805</v>
      </c>
      <c r="P26" s="36">
        <v>481324.05128958519</v>
      </c>
      <c r="Q26" s="36">
        <v>481728.08394334879</v>
      </c>
      <c r="R26" s="36">
        <v>482132.11659711233</v>
      </c>
      <c r="S26" s="36">
        <v>482536.14925087593</v>
      </c>
      <c r="T26" s="36">
        <v>483344.21455840312</v>
      </c>
      <c r="U26" s="36">
        <v>483748.24721216667</v>
      </c>
      <c r="V26" s="37">
        <v>484556.31251969386</v>
      </c>
      <c r="W26" s="5"/>
      <c r="X26" s="47"/>
    </row>
    <row r="27" spans="1:24" s="48" customFormat="1" thickBot="1">
      <c r="A27" s="60" t="s">
        <v>39</v>
      </c>
      <c r="B27" s="61"/>
      <c r="C27" s="145">
        <v>-113023.33817310857</v>
      </c>
      <c r="D27" s="145">
        <v>-947759.12296200916</v>
      </c>
      <c r="E27" s="145">
        <v>-1360803.7461000469</v>
      </c>
      <c r="F27" s="145">
        <v>-461504.67986439436</v>
      </c>
      <c r="G27" s="145">
        <v>495061.16151754698</v>
      </c>
      <c r="H27" s="145">
        <v>495869.22682507412</v>
      </c>
      <c r="I27" s="145">
        <v>497081.32478636486</v>
      </c>
      <c r="J27" s="145">
        <v>497889.390093892</v>
      </c>
      <c r="K27" s="145">
        <v>498697.4554014192</v>
      </c>
      <c r="L27" s="145">
        <v>499505.52070894634</v>
      </c>
      <c r="M27" s="145">
        <v>500313.58601647353</v>
      </c>
      <c r="N27" s="145">
        <v>501525.68397776427</v>
      </c>
      <c r="O27" s="145">
        <v>502333.74928529141</v>
      </c>
      <c r="P27" s="145">
        <v>503141.81459281855</v>
      </c>
      <c r="Q27" s="145">
        <v>504353.91255410935</v>
      </c>
      <c r="R27" s="145">
        <v>505161.97786163649</v>
      </c>
      <c r="S27" s="145">
        <v>506374.07582292723</v>
      </c>
      <c r="T27" s="145">
        <v>507586.17378421797</v>
      </c>
      <c r="U27" s="145">
        <v>508394.23909174511</v>
      </c>
      <c r="V27" s="146">
        <v>509606.33705303591</v>
      </c>
      <c r="W27" s="5"/>
      <c r="X27" s="47"/>
    </row>
    <row r="28" spans="1:24" s="18" customFormat="1" thickBot="1">
      <c r="A28" s="64"/>
      <c r="B28" s="22"/>
      <c r="C28" s="65"/>
      <c r="D28" s="65"/>
      <c r="E28" s="65"/>
      <c r="F28" s="65"/>
      <c r="G28" s="65"/>
      <c r="H28" s="65"/>
      <c r="I28" s="66"/>
      <c r="J28" s="66"/>
      <c r="K28" s="67"/>
      <c r="L28" s="67"/>
      <c r="M28" s="67"/>
      <c r="N28" s="67"/>
      <c r="O28" s="67"/>
      <c r="P28" s="67"/>
      <c r="Q28" s="67"/>
      <c r="R28" s="67"/>
      <c r="S28" s="67"/>
      <c r="T28" s="67"/>
      <c r="U28" s="67"/>
      <c r="V28" s="68"/>
      <c r="W28" s="69"/>
      <c r="X28" s="17"/>
    </row>
    <row r="29" spans="1:24" s="18" customFormat="1" ht="14.25">
      <c r="A29" s="134" t="s">
        <v>22</v>
      </c>
      <c r="B29" s="135"/>
      <c r="C29" s="70"/>
      <c r="D29" s="71"/>
      <c r="E29" s="71"/>
      <c r="F29" s="71"/>
      <c r="G29" s="71"/>
      <c r="H29" s="71"/>
      <c r="I29" s="72"/>
      <c r="J29" s="72"/>
      <c r="K29" s="66"/>
      <c r="L29" s="66"/>
      <c r="M29" s="66"/>
      <c r="N29" s="66"/>
      <c r="O29" s="66"/>
      <c r="P29" s="66"/>
      <c r="Q29" s="66"/>
      <c r="R29" s="66"/>
      <c r="S29" s="66"/>
      <c r="T29" s="66"/>
      <c r="U29" s="66"/>
      <c r="V29" s="73"/>
      <c r="W29" s="74"/>
      <c r="X29" s="17"/>
    </row>
    <row r="30" spans="1:24" s="18" customFormat="1" ht="14.25">
      <c r="A30" s="53" t="s">
        <v>10</v>
      </c>
      <c r="B30" s="75">
        <v>0.06</v>
      </c>
      <c r="C30" s="70"/>
      <c r="D30" s="71"/>
      <c r="E30" s="71"/>
      <c r="F30" s="71"/>
      <c r="G30" s="71"/>
      <c r="H30" s="71"/>
      <c r="I30" s="72"/>
      <c r="J30" s="72"/>
      <c r="K30" s="72"/>
      <c r="L30" s="72"/>
      <c r="M30" s="72"/>
      <c r="N30" s="72"/>
      <c r="O30" s="72"/>
      <c r="P30" s="72"/>
      <c r="Q30" s="72"/>
      <c r="R30" s="72"/>
      <c r="S30" s="72"/>
      <c r="T30" s="72"/>
      <c r="U30" s="72"/>
      <c r="V30" s="76"/>
      <c r="W30" s="74"/>
      <c r="X30" s="17"/>
    </row>
    <row r="31" spans="1:24" s="18" customFormat="1" thickBot="1">
      <c r="A31" s="136" t="s">
        <v>23</v>
      </c>
      <c r="B31" s="137"/>
      <c r="C31" s="77"/>
      <c r="D31" s="72"/>
      <c r="E31" s="72"/>
      <c r="F31" s="72"/>
      <c r="G31" s="72"/>
      <c r="H31" s="72"/>
      <c r="I31" s="72"/>
      <c r="J31" s="72"/>
      <c r="K31" s="72"/>
      <c r="L31" s="72"/>
      <c r="M31" s="72"/>
      <c r="N31" s="72"/>
      <c r="O31" s="72"/>
      <c r="P31" s="72"/>
      <c r="Q31" s="72"/>
      <c r="R31" s="72"/>
      <c r="S31" s="72"/>
      <c r="T31" s="72"/>
      <c r="U31" s="72"/>
      <c r="V31" s="76"/>
      <c r="W31" s="74"/>
      <c r="X31" s="17"/>
    </row>
    <row r="32" spans="1:24" s="18" customFormat="1" thickBot="1">
      <c r="A32" s="78" t="s">
        <v>7</v>
      </c>
      <c r="B32" s="147">
        <v>1157864.0923309808</v>
      </c>
      <c r="C32" s="80" t="s">
        <v>1</v>
      </c>
      <c r="D32" s="80"/>
      <c r="E32" s="80"/>
      <c r="F32" s="80"/>
      <c r="G32" s="80"/>
      <c r="H32" s="80"/>
      <c r="I32" s="80"/>
      <c r="J32" s="80"/>
      <c r="K32" s="72"/>
      <c r="L32" s="72"/>
      <c r="M32" s="72"/>
      <c r="N32" s="72"/>
      <c r="O32" s="72"/>
      <c r="P32" s="72"/>
      <c r="Q32" s="72"/>
      <c r="R32" s="72"/>
      <c r="S32" s="72"/>
      <c r="T32" s="72"/>
      <c r="U32" s="72"/>
      <c r="V32" s="76"/>
      <c r="W32" s="74"/>
      <c r="X32" s="17"/>
    </row>
    <row r="33" spans="1:24" s="18" customFormat="1" thickBot="1">
      <c r="A33" s="78" t="s">
        <v>8</v>
      </c>
      <c r="B33" s="81">
        <v>0.11070950432107875</v>
      </c>
      <c r="C33" s="82" t="s">
        <v>24</v>
      </c>
      <c r="D33" s="82"/>
      <c r="E33" s="82"/>
      <c r="F33" s="82"/>
      <c r="G33" s="82"/>
      <c r="H33" s="82"/>
      <c r="I33" s="82"/>
      <c r="J33" s="82"/>
      <c r="K33" s="72"/>
      <c r="L33" s="72"/>
      <c r="M33" s="72"/>
      <c r="N33" s="72"/>
      <c r="O33" s="72"/>
      <c r="P33" s="72"/>
      <c r="Q33" s="72"/>
      <c r="R33" s="72"/>
      <c r="S33" s="72"/>
      <c r="T33" s="72"/>
      <c r="U33" s="72"/>
      <c r="V33" s="76"/>
      <c r="W33" s="74"/>
      <c r="X33" s="17"/>
    </row>
    <row r="34" spans="1:24" s="18" customFormat="1" thickBot="1">
      <c r="A34" s="78" t="s">
        <v>9</v>
      </c>
      <c r="B34" s="81">
        <v>8.1323940299246944E-2</v>
      </c>
      <c r="C34" s="80" t="s">
        <v>24</v>
      </c>
      <c r="D34" s="80"/>
      <c r="E34" s="80"/>
      <c r="F34" s="80"/>
      <c r="G34" s="80"/>
      <c r="H34" s="80"/>
      <c r="I34" s="80"/>
      <c r="J34" s="80"/>
      <c r="K34" s="72"/>
      <c r="L34" s="72"/>
      <c r="M34" s="72"/>
      <c r="N34" s="72"/>
      <c r="O34" s="72"/>
      <c r="P34" s="72"/>
      <c r="Q34" s="72"/>
      <c r="R34" s="72"/>
      <c r="S34" s="72"/>
      <c r="T34" s="72"/>
      <c r="U34" s="72"/>
      <c r="V34" s="76"/>
      <c r="W34" s="74"/>
      <c r="X34" s="17"/>
    </row>
    <row r="35" spans="1:24" s="18" customFormat="1" thickBot="1">
      <c r="A35" s="83"/>
      <c r="B35" s="148">
        <v>1.1922452869313649</v>
      </c>
      <c r="C35" s="85"/>
      <c r="D35" s="85"/>
      <c r="E35" s="85"/>
      <c r="F35" s="85"/>
      <c r="G35" s="85"/>
      <c r="H35" s="85"/>
      <c r="I35" s="85"/>
      <c r="J35" s="85"/>
      <c r="K35" s="72"/>
      <c r="L35" s="72"/>
      <c r="M35" s="72"/>
      <c r="N35" s="72"/>
      <c r="O35" s="72"/>
      <c r="P35" s="72"/>
      <c r="Q35" s="72"/>
      <c r="R35" s="72"/>
      <c r="S35" s="72"/>
      <c r="T35" s="72"/>
      <c r="U35" s="72"/>
      <c r="V35" s="76"/>
      <c r="W35" s="74"/>
      <c r="X35" s="17"/>
    </row>
    <row r="36" spans="1:24" s="18" customFormat="1" thickBot="1">
      <c r="A36" s="87"/>
      <c r="B36" s="88"/>
      <c r="V36" s="90"/>
      <c r="W36" s="91"/>
      <c r="X36" s="17"/>
    </row>
    <row r="37" spans="1:24" s="18" customFormat="1" thickBot="1">
      <c r="A37" s="138" t="s">
        <v>40</v>
      </c>
      <c r="B37" s="139"/>
      <c r="C37" s="71"/>
      <c r="D37" s="71"/>
      <c r="E37" s="71"/>
      <c r="F37" s="71"/>
      <c r="G37" s="71"/>
      <c r="H37" s="71"/>
      <c r="I37" s="72"/>
      <c r="J37" s="72"/>
      <c r="K37" s="66"/>
      <c r="L37" s="66"/>
      <c r="M37" s="66"/>
      <c r="N37" s="66"/>
      <c r="O37" s="66"/>
      <c r="P37" s="66"/>
      <c r="Q37" s="66"/>
      <c r="R37" s="66"/>
      <c r="S37" s="66"/>
      <c r="T37" s="66"/>
      <c r="U37" s="66"/>
      <c r="V37" s="73"/>
      <c r="W37" s="74"/>
      <c r="X37" s="17"/>
    </row>
    <row r="38" spans="1:24" s="18" customFormat="1" thickBot="1">
      <c r="A38" s="93" t="s">
        <v>10</v>
      </c>
      <c r="B38" s="94">
        <v>0.06</v>
      </c>
      <c r="C38" s="71"/>
      <c r="D38" s="71"/>
      <c r="E38" s="71"/>
      <c r="F38" s="71"/>
      <c r="G38" s="71"/>
      <c r="H38" s="71"/>
      <c r="I38" s="72"/>
      <c r="J38" s="72"/>
      <c r="K38" s="72"/>
      <c r="L38" s="72"/>
      <c r="M38" s="72"/>
      <c r="N38" s="72"/>
      <c r="O38" s="72"/>
      <c r="P38" s="72"/>
      <c r="Q38" s="72"/>
      <c r="R38" s="72"/>
      <c r="S38" s="72"/>
      <c r="T38" s="72"/>
      <c r="U38" s="72"/>
      <c r="V38" s="76"/>
      <c r="W38" s="74"/>
      <c r="X38" s="17"/>
    </row>
    <row r="39" spans="1:24" s="18" customFormat="1" thickBot="1">
      <c r="A39" s="140" t="s">
        <v>23</v>
      </c>
      <c r="B39" s="141"/>
      <c r="C39" s="72"/>
      <c r="D39" s="72"/>
      <c r="E39" s="72"/>
      <c r="F39" s="72"/>
      <c r="G39" s="72"/>
      <c r="H39" s="72"/>
      <c r="I39" s="72"/>
      <c r="J39" s="72"/>
      <c r="K39" s="72"/>
      <c r="L39" s="72"/>
      <c r="M39" s="72"/>
      <c r="N39" s="72"/>
      <c r="O39" s="72"/>
      <c r="P39" s="72"/>
      <c r="Q39" s="72"/>
      <c r="R39" s="72"/>
      <c r="S39" s="72"/>
      <c r="T39" s="72"/>
      <c r="U39" s="72"/>
      <c r="V39" s="76"/>
      <c r="W39" s="74"/>
      <c r="X39" s="17"/>
    </row>
    <row r="40" spans="1:24" s="18" customFormat="1" thickBot="1">
      <c r="A40" s="13" t="s">
        <v>7</v>
      </c>
      <c r="B40" s="95">
        <v>1354919.2713245498</v>
      </c>
      <c r="C40" s="80" t="s">
        <v>1</v>
      </c>
      <c r="D40" s="80"/>
      <c r="E40" s="80"/>
      <c r="F40" s="80"/>
      <c r="G40" s="80"/>
      <c r="H40" s="80"/>
      <c r="I40" s="80"/>
      <c r="J40" s="80"/>
      <c r="K40" s="72"/>
      <c r="L40" s="72"/>
      <c r="M40" s="72"/>
      <c r="N40" s="72"/>
      <c r="O40" s="72"/>
      <c r="P40" s="72"/>
      <c r="Q40" s="72"/>
      <c r="R40" s="72"/>
      <c r="S40" s="72"/>
      <c r="T40" s="72"/>
      <c r="U40" s="72"/>
      <c r="V40" s="76"/>
      <c r="W40" s="74"/>
      <c r="X40" s="17"/>
    </row>
    <row r="41" spans="1:24" s="18" customFormat="1" thickBot="1">
      <c r="A41" s="51" t="s">
        <v>8</v>
      </c>
      <c r="B41" s="96">
        <v>0.11878275184895422</v>
      </c>
      <c r="C41" s="82" t="s">
        <v>24</v>
      </c>
      <c r="D41" s="82"/>
      <c r="E41" s="82"/>
      <c r="F41" s="82"/>
      <c r="G41" s="82"/>
      <c r="H41" s="82"/>
      <c r="I41" s="82"/>
      <c r="J41" s="82"/>
      <c r="K41" s="72"/>
      <c r="L41" s="72"/>
      <c r="M41" s="72"/>
      <c r="N41" s="72"/>
      <c r="O41" s="72"/>
      <c r="P41" s="72"/>
      <c r="Q41" s="72"/>
      <c r="R41" s="72"/>
      <c r="S41" s="72"/>
      <c r="T41" s="72"/>
      <c r="U41" s="72"/>
      <c r="V41" s="76"/>
      <c r="W41" s="74"/>
      <c r="X41" s="17"/>
    </row>
    <row r="42" spans="1:24" s="18" customFormat="1" thickBot="1">
      <c r="A42" s="83" t="s">
        <v>9</v>
      </c>
      <c r="B42" s="97">
        <v>8.4537973328695948E-2</v>
      </c>
      <c r="C42" s="80" t="s">
        <v>24</v>
      </c>
      <c r="D42" s="80"/>
      <c r="E42" s="80"/>
      <c r="F42" s="80"/>
      <c r="G42" s="80"/>
      <c r="H42" s="80"/>
      <c r="I42" s="80"/>
      <c r="J42" s="80"/>
      <c r="K42" s="72"/>
      <c r="L42" s="72"/>
      <c r="M42" s="72"/>
      <c r="N42" s="72"/>
      <c r="O42" s="72"/>
      <c r="P42" s="72"/>
      <c r="Q42" s="72"/>
      <c r="R42" s="72"/>
      <c r="S42" s="72"/>
      <c r="T42" s="72"/>
      <c r="U42" s="72"/>
      <c r="V42" s="76"/>
      <c r="W42" s="74"/>
      <c r="X42" s="17"/>
    </row>
    <row r="43" spans="1:24" ht="15.75" thickBot="1"/>
    <row r="44" spans="1:24" s="18" customFormat="1" thickBot="1">
      <c r="A44" s="138" t="s">
        <v>41</v>
      </c>
      <c r="B44" s="139"/>
      <c r="C44" s="71"/>
      <c r="D44" s="71"/>
      <c r="E44" s="71"/>
      <c r="F44" s="71"/>
      <c r="G44" s="71"/>
      <c r="H44" s="71"/>
      <c r="I44" s="72"/>
      <c r="J44" s="72"/>
      <c r="K44" s="66"/>
      <c r="L44" s="66"/>
      <c r="M44" s="66"/>
      <c r="N44" s="66"/>
      <c r="O44" s="66"/>
      <c r="P44" s="66"/>
      <c r="Q44" s="66"/>
      <c r="R44" s="66"/>
      <c r="S44" s="66"/>
      <c r="T44" s="66"/>
      <c r="U44" s="66"/>
      <c r="V44" s="73"/>
      <c r="W44" s="74"/>
      <c r="X44" s="17"/>
    </row>
    <row r="45" spans="1:24" s="18" customFormat="1" thickBot="1">
      <c r="A45" s="93" t="s">
        <v>10</v>
      </c>
      <c r="B45" s="94">
        <v>0.06</v>
      </c>
      <c r="C45" s="71"/>
      <c r="D45" s="71"/>
      <c r="E45" s="71"/>
      <c r="F45" s="71"/>
      <c r="G45" s="71"/>
      <c r="H45" s="71"/>
      <c r="I45" s="72"/>
      <c r="J45" s="72"/>
      <c r="K45" s="72"/>
      <c r="L45" s="72"/>
      <c r="M45" s="72"/>
      <c r="N45" s="72"/>
      <c r="O45" s="72"/>
      <c r="P45" s="72"/>
      <c r="Q45" s="72"/>
      <c r="R45" s="72"/>
      <c r="S45" s="72"/>
      <c r="T45" s="72"/>
      <c r="U45" s="72"/>
      <c r="V45" s="76"/>
      <c r="W45" s="74"/>
      <c r="X45" s="17"/>
    </row>
    <row r="46" spans="1:24" s="18" customFormat="1" thickBot="1">
      <c r="A46" s="140" t="s">
        <v>23</v>
      </c>
      <c r="B46" s="141"/>
      <c r="C46" s="72"/>
      <c r="D46" s="72"/>
      <c r="E46" s="72"/>
      <c r="F46" s="72"/>
      <c r="G46" s="72"/>
      <c r="H46" s="72"/>
      <c r="I46" s="72"/>
      <c r="J46" s="72"/>
      <c r="K46" s="72"/>
      <c r="L46" s="72"/>
      <c r="M46" s="72"/>
      <c r="N46" s="72"/>
      <c r="O46" s="72"/>
      <c r="P46" s="72"/>
      <c r="Q46" s="72"/>
      <c r="R46" s="72"/>
      <c r="S46" s="72"/>
      <c r="T46" s="72"/>
      <c r="U46" s="72"/>
      <c r="V46" s="76"/>
      <c r="W46" s="74"/>
      <c r="X46" s="17"/>
    </row>
    <row r="47" spans="1:24" s="18" customFormat="1" thickBot="1">
      <c r="A47" s="13" t="s">
        <v>7</v>
      </c>
      <c r="B47" s="95">
        <v>1551303.2529857967</v>
      </c>
      <c r="C47" s="80" t="s">
        <v>1</v>
      </c>
      <c r="D47" s="80"/>
      <c r="E47" s="80"/>
      <c r="F47" s="80"/>
      <c r="G47" s="80"/>
      <c r="H47" s="80"/>
      <c r="I47" s="80"/>
      <c r="J47" s="80"/>
      <c r="K47" s="72"/>
      <c r="L47" s="72"/>
      <c r="M47" s="72"/>
      <c r="N47" s="72"/>
      <c r="O47" s="72"/>
      <c r="P47" s="72"/>
      <c r="Q47" s="72"/>
      <c r="R47" s="72"/>
      <c r="S47" s="72"/>
      <c r="T47" s="72"/>
      <c r="U47" s="72"/>
      <c r="V47" s="76"/>
      <c r="W47" s="74"/>
      <c r="X47" s="17"/>
    </row>
    <row r="48" spans="1:24" s="18" customFormat="1" thickBot="1">
      <c r="A48" s="51" t="s">
        <v>8</v>
      </c>
      <c r="B48" s="96">
        <v>0.12670961355157589</v>
      </c>
      <c r="C48" s="82" t="s">
        <v>24</v>
      </c>
      <c r="D48" s="82"/>
      <c r="E48" s="82"/>
      <c r="F48" s="82"/>
      <c r="G48" s="82"/>
      <c r="H48" s="82"/>
      <c r="I48" s="82"/>
      <c r="J48" s="82"/>
      <c r="K48" s="72"/>
      <c r="L48" s="72"/>
      <c r="M48" s="72"/>
      <c r="N48" s="72"/>
      <c r="O48" s="72"/>
      <c r="P48" s="72"/>
      <c r="Q48" s="72"/>
      <c r="R48" s="72"/>
      <c r="S48" s="72"/>
      <c r="T48" s="72"/>
      <c r="U48" s="72"/>
      <c r="V48" s="76"/>
      <c r="W48" s="74"/>
      <c r="X48" s="17"/>
    </row>
    <row r="49" spans="1:24" s="18" customFormat="1" thickBot="1">
      <c r="A49" s="83" t="s">
        <v>9</v>
      </c>
      <c r="B49" s="97">
        <v>8.7648410342843208E-2</v>
      </c>
      <c r="C49" s="80" t="s">
        <v>24</v>
      </c>
      <c r="D49" s="80"/>
      <c r="E49" s="80"/>
      <c r="F49" s="80"/>
      <c r="G49" s="80"/>
      <c r="H49" s="80"/>
      <c r="I49" s="80"/>
      <c r="J49" s="80"/>
      <c r="K49" s="72"/>
      <c r="L49" s="72"/>
      <c r="M49" s="72"/>
      <c r="N49" s="72"/>
      <c r="O49" s="72"/>
      <c r="P49" s="72"/>
      <c r="Q49" s="72"/>
      <c r="R49" s="72"/>
      <c r="S49" s="72"/>
      <c r="T49" s="72"/>
      <c r="U49" s="72"/>
      <c r="V49" s="76"/>
      <c r="W49" s="74"/>
      <c r="X49" s="17"/>
    </row>
    <row r="51" spans="1:24" s="102" customFormat="1" ht="13.5" thickBot="1">
      <c r="B51" s="103" t="s">
        <v>26</v>
      </c>
      <c r="C51" s="104"/>
      <c r="D51" s="104"/>
      <c r="E51" s="104"/>
      <c r="F51" s="104"/>
      <c r="G51" s="104"/>
      <c r="H51" s="104"/>
      <c r="I51" s="104"/>
      <c r="J51" s="104"/>
      <c r="K51" s="104"/>
      <c r="L51" s="104"/>
      <c r="M51" s="104"/>
      <c r="N51" s="104"/>
      <c r="O51" s="104"/>
      <c r="P51" s="104"/>
      <c r="Q51" s="104"/>
      <c r="R51" s="104"/>
      <c r="S51" s="104"/>
      <c r="T51" s="104"/>
      <c r="U51" s="104"/>
      <c r="V51" s="105"/>
      <c r="W51" s="106"/>
      <c r="X51" s="107"/>
    </row>
    <row r="52" spans="1:24" s="102" customFormat="1" ht="12.75">
      <c r="B52" s="108" t="s">
        <v>27</v>
      </c>
      <c r="C52" s="109">
        <v>0</v>
      </c>
      <c r="D52" s="110">
        <v>1</v>
      </c>
      <c r="E52" s="110">
        <v>2</v>
      </c>
      <c r="F52" s="110">
        <v>3</v>
      </c>
      <c r="G52" s="110">
        <v>4</v>
      </c>
      <c r="H52" s="110">
        <v>5</v>
      </c>
      <c r="I52" s="110">
        <v>6</v>
      </c>
      <c r="J52" s="110">
        <v>7</v>
      </c>
      <c r="K52" s="110">
        <v>8</v>
      </c>
      <c r="L52" s="110">
        <v>9</v>
      </c>
      <c r="M52" s="110">
        <v>10</v>
      </c>
      <c r="N52" s="110">
        <v>11</v>
      </c>
      <c r="O52" s="110">
        <v>12</v>
      </c>
      <c r="P52" s="110">
        <v>13</v>
      </c>
      <c r="Q52" s="110">
        <v>14</v>
      </c>
      <c r="R52" s="110">
        <v>15</v>
      </c>
      <c r="S52" s="110">
        <v>16</v>
      </c>
      <c r="T52" s="110">
        <v>17</v>
      </c>
      <c r="U52" s="110">
        <v>18</v>
      </c>
      <c r="V52" s="110">
        <v>19</v>
      </c>
      <c r="W52" s="111">
        <v>20</v>
      </c>
      <c r="X52" s="107"/>
    </row>
    <row r="53" spans="1:24" s="102" customFormat="1" ht="12.75">
      <c r="B53" s="108" t="s">
        <v>28</v>
      </c>
      <c r="C53" s="112">
        <v>-3460551.029541316</v>
      </c>
      <c r="D53" s="113"/>
      <c r="E53" s="113"/>
      <c r="F53" s="113"/>
      <c r="G53" s="113"/>
      <c r="H53" s="113"/>
      <c r="I53" s="113"/>
      <c r="J53" s="113"/>
      <c r="K53" s="113"/>
      <c r="L53" s="113"/>
      <c r="M53" s="113"/>
      <c r="N53" s="113"/>
      <c r="O53" s="113"/>
      <c r="P53" s="113"/>
      <c r="Q53" s="113"/>
      <c r="R53" s="113"/>
      <c r="S53" s="113"/>
      <c r="T53" s="113"/>
      <c r="U53" s="113"/>
      <c r="V53" s="113"/>
      <c r="W53" s="114"/>
      <c r="X53" s="107"/>
    </row>
    <row r="54" spans="1:24" s="102" customFormat="1" ht="12.75">
      <c r="B54" s="108" t="s">
        <v>29</v>
      </c>
      <c r="D54" s="115">
        <v>-11542.065125848683</v>
      </c>
      <c r="E54" s="115">
        <v>-24690.483692397946</v>
      </c>
      <c r="F54" s="115">
        <v>83151.105675728759</v>
      </c>
      <c r="G54" s="115">
        <v>459102.25533258822</v>
      </c>
      <c r="H54" s="115">
        <v>1532659.3919124338</v>
      </c>
      <c r="I54" s="115">
        <v>1532659.3919124338</v>
      </c>
      <c r="J54" s="115">
        <v>1532659.3919124338</v>
      </c>
      <c r="K54" s="115">
        <v>1532659.3919124338</v>
      </c>
      <c r="L54" s="115">
        <v>1532659.3919124338</v>
      </c>
      <c r="M54" s="115">
        <v>1532659.3919124338</v>
      </c>
      <c r="N54" s="115">
        <v>1532659.3919124338</v>
      </c>
      <c r="O54" s="115">
        <v>1532659.3919124338</v>
      </c>
      <c r="P54" s="115">
        <v>1532659.3919124338</v>
      </c>
      <c r="Q54" s="115">
        <v>1532659.3919124338</v>
      </c>
      <c r="R54" s="115">
        <v>1532659.3919124338</v>
      </c>
      <c r="S54" s="115">
        <v>1532659.3919124338</v>
      </c>
      <c r="T54" s="115">
        <v>1532659.3919124338</v>
      </c>
      <c r="U54" s="115">
        <v>1532659.3919124338</v>
      </c>
      <c r="V54" s="115">
        <v>1532659.3919124338</v>
      </c>
      <c r="W54" s="116">
        <v>1532659.3919124338</v>
      </c>
      <c r="X54" s="107"/>
    </row>
    <row r="55" spans="1:24" s="102" customFormat="1" ht="13.5" thickBot="1">
      <c r="B55" s="108" t="s">
        <v>30</v>
      </c>
      <c r="C55" s="117">
        <v>-3460551.029541316</v>
      </c>
      <c r="D55" s="118">
        <v>-3472093.0946671646</v>
      </c>
      <c r="E55" s="118">
        <v>-3496783.5783595624</v>
      </c>
      <c r="F55" s="118">
        <v>-3413632.4726838339</v>
      </c>
      <c r="G55" s="118">
        <v>-2954530.2173512457</v>
      </c>
      <c r="H55" s="118">
        <v>-1421870.8254388119</v>
      </c>
      <c r="I55" s="118">
        <v>110788.56647362188</v>
      </c>
      <c r="J55" s="118">
        <v>1643447.9583860557</v>
      </c>
      <c r="K55" s="118">
        <v>3176107.3502984894</v>
      </c>
      <c r="L55" s="118">
        <v>4708766.7422109228</v>
      </c>
      <c r="M55" s="118">
        <v>6241426.134123357</v>
      </c>
      <c r="N55" s="118">
        <v>7774085.5260357913</v>
      </c>
      <c r="O55" s="118">
        <v>9306744.9179482255</v>
      </c>
      <c r="P55" s="118">
        <v>10839404.30986066</v>
      </c>
      <c r="Q55" s="118">
        <v>12372063.701773094</v>
      </c>
      <c r="R55" s="118">
        <v>13904723.093685528</v>
      </c>
      <c r="S55" s="118">
        <v>15437382.485597963</v>
      </c>
      <c r="T55" s="118">
        <v>16970041.877510395</v>
      </c>
      <c r="U55" s="118">
        <v>18502701.269422829</v>
      </c>
      <c r="V55" s="118">
        <v>20035360.661335263</v>
      </c>
      <c r="W55" s="119">
        <v>21568020.053247698</v>
      </c>
      <c r="X55" s="107"/>
    </row>
    <row r="56" spans="1:24" s="128" customFormat="1" ht="14.25">
      <c r="A56" s="120"/>
      <c r="B56" s="121"/>
      <c r="C56" s="122"/>
      <c r="D56" s="123"/>
      <c r="E56" s="124"/>
      <c r="F56" s="124"/>
      <c r="G56" s="124"/>
      <c r="H56" s="124"/>
      <c r="I56" s="124"/>
      <c r="J56" s="124"/>
      <c r="K56" s="124"/>
      <c r="L56" s="124"/>
      <c r="M56" s="124"/>
      <c r="N56" s="124"/>
      <c r="O56" s="124"/>
      <c r="P56" s="124"/>
      <c r="Q56" s="124"/>
      <c r="R56" s="124"/>
      <c r="S56" s="124"/>
      <c r="T56" s="124"/>
      <c r="U56" s="124"/>
      <c r="V56" s="125"/>
      <c r="W56" s="126"/>
      <c r="X56" s="127"/>
    </row>
    <row r="57" spans="1:24" s="128" customFormat="1" thickBot="1">
      <c r="B57" s="129" t="s">
        <v>31</v>
      </c>
      <c r="C57" s="130">
        <v>6.9277148157912753</v>
      </c>
      <c r="D57" s="127"/>
      <c r="V57" s="121"/>
      <c r="W57" s="126"/>
      <c r="X57" s="127"/>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dimension ref="A1:X65"/>
  <sheetViews>
    <sheetView showGridLines="0" zoomScale="70" zoomScaleNormal="70" workbookViewId="0">
      <selection sqref="A1:XFD1048576"/>
    </sheetView>
  </sheetViews>
  <sheetFormatPr defaultColWidth="9" defaultRowHeight="15"/>
  <cols>
    <col min="1" max="1" width="76.140625" style="98" customWidth="1"/>
    <col min="2" max="2" width="15.85546875" style="98" bestFit="1" customWidth="1"/>
    <col min="3" max="4" width="16.42578125" style="98" bestFit="1" customWidth="1"/>
    <col min="5" max="8" width="16.7109375" style="98" bestFit="1" customWidth="1"/>
    <col min="9" max="21" width="15.85546875" style="98" customWidth="1"/>
    <col min="22" max="22" width="15.85546875" style="99" customWidth="1"/>
    <col min="23" max="23" width="15.85546875" style="100" customWidth="1"/>
    <col min="24" max="24" width="9" style="101"/>
    <col min="25" max="16384" width="9" style="98"/>
  </cols>
  <sheetData>
    <row r="1" spans="1:24" s="18" customFormat="1" ht="15.75" thickBot="1">
      <c r="A1" s="131" t="s">
        <v>32</v>
      </c>
      <c r="B1" s="132"/>
      <c r="C1" s="132"/>
      <c r="D1" s="132"/>
      <c r="E1" s="132"/>
      <c r="F1" s="132"/>
      <c r="G1" s="132"/>
      <c r="H1" s="132"/>
      <c r="I1" s="132"/>
      <c r="J1" s="132"/>
      <c r="K1" s="132"/>
      <c r="L1" s="132"/>
      <c r="M1" s="132"/>
      <c r="N1" s="132"/>
      <c r="O1" s="132"/>
      <c r="P1" s="132"/>
      <c r="Q1" s="132"/>
      <c r="R1" s="132"/>
      <c r="S1" s="132"/>
      <c r="T1" s="132"/>
      <c r="U1" s="132"/>
      <c r="V1" s="132"/>
      <c r="W1" s="133"/>
      <c r="X1" s="17"/>
    </row>
    <row r="2" spans="1:24" s="18" customFormat="1" ht="14.25">
      <c r="A2" s="19"/>
      <c r="B2" s="20" t="s">
        <v>12</v>
      </c>
      <c r="C2" s="20"/>
      <c r="D2" s="20"/>
      <c r="E2" s="20"/>
      <c r="F2" s="20"/>
      <c r="G2" s="20"/>
      <c r="H2" s="20"/>
      <c r="I2" s="20"/>
      <c r="J2" s="20"/>
      <c r="K2" s="20"/>
      <c r="L2" s="20"/>
      <c r="M2" s="20"/>
      <c r="N2" s="20"/>
      <c r="O2" s="20"/>
      <c r="P2" s="20"/>
      <c r="Q2" s="20"/>
      <c r="R2" s="20"/>
      <c r="S2" s="20"/>
      <c r="T2" s="20"/>
      <c r="U2" s="20"/>
      <c r="V2" s="21"/>
      <c r="W2" s="22"/>
      <c r="X2" s="17"/>
    </row>
    <row r="3" spans="1:24" s="18" customFormat="1" ht="14.25">
      <c r="A3" s="23"/>
      <c r="B3" s="24"/>
      <c r="C3" s="25">
        <v>2023</v>
      </c>
      <c r="D3" s="25">
        <v>2024</v>
      </c>
      <c r="E3" s="25">
        <v>2025</v>
      </c>
      <c r="F3" s="25">
        <v>2026</v>
      </c>
      <c r="G3" s="25">
        <v>2027</v>
      </c>
      <c r="H3" s="25">
        <v>2028</v>
      </c>
      <c r="I3" s="25">
        <v>2029</v>
      </c>
      <c r="J3" s="25">
        <v>2030</v>
      </c>
      <c r="K3" s="25">
        <v>2031</v>
      </c>
      <c r="L3" s="25">
        <v>2032</v>
      </c>
      <c r="M3" s="25">
        <v>2033</v>
      </c>
      <c r="N3" s="25">
        <v>2034</v>
      </c>
      <c r="O3" s="25">
        <v>2035</v>
      </c>
      <c r="P3" s="25">
        <v>2036</v>
      </c>
      <c r="Q3" s="25">
        <v>2037</v>
      </c>
      <c r="R3" s="25">
        <v>2038</v>
      </c>
      <c r="S3" s="25">
        <v>2039</v>
      </c>
      <c r="T3" s="25">
        <v>2040</v>
      </c>
      <c r="U3" s="25">
        <v>2041</v>
      </c>
      <c r="V3" s="26">
        <v>2042</v>
      </c>
      <c r="W3" s="27"/>
      <c r="X3" s="17"/>
    </row>
    <row r="4" spans="1:24" s="18" customFormat="1" ht="14.25">
      <c r="A4" s="28" t="s">
        <v>33</v>
      </c>
      <c r="B4" s="29"/>
      <c r="C4" s="30"/>
      <c r="D4" s="30"/>
      <c r="E4" s="30"/>
      <c r="F4" s="30"/>
      <c r="G4" s="30"/>
      <c r="H4" s="30"/>
      <c r="I4" s="30"/>
      <c r="J4" s="31"/>
      <c r="K4" s="32"/>
      <c r="L4" s="32"/>
      <c r="M4" s="32"/>
      <c r="N4" s="32"/>
      <c r="O4" s="32"/>
      <c r="P4" s="32"/>
      <c r="Q4" s="32"/>
      <c r="R4" s="32"/>
      <c r="S4" s="32"/>
      <c r="T4" s="32"/>
      <c r="U4" s="32"/>
      <c r="V4" s="33"/>
      <c r="W4" s="34"/>
      <c r="X4" s="17"/>
    </row>
    <row r="5" spans="1:24" s="18" customFormat="1" ht="14.25">
      <c r="A5" s="28" t="s">
        <v>13</v>
      </c>
      <c r="B5" s="35" t="s">
        <v>1</v>
      </c>
      <c r="C5" s="36">
        <v>2922.3732782343027</v>
      </c>
      <c r="D5" s="36">
        <v>53422.227089220192</v>
      </c>
      <c r="E5" s="36">
        <v>129200.6943192234</v>
      </c>
      <c r="F5" s="36">
        <v>258299.99999999971</v>
      </c>
      <c r="G5" s="36">
        <v>258299.99999999971</v>
      </c>
      <c r="H5" s="36">
        <v>258299.99999999971</v>
      </c>
      <c r="I5" s="36">
        <v>258299.99999999971</v>
      </c>
      <c r="J5" s="36">
        <v>258299.99999999971</v>
      </c>
      <c r="K5" s="36">
        <v>258299.99999999971</v>
      </c>
      <c r="L5" s="36">
        <v>258299.99999999971</v>
      </c>
      <c r="M5" s="36">
        <v>258299.99999999971</v>
      </c>
      <c r="N5" s="36">
        <v>258299.99999999971</v>
      </c>
      <c r="O5" s="36">
        <v>258299.99999999971</v>
      </c>
      <c r="P5" s="36">
        <v>258299.99999999971</v>
      </c>
      <c r="Q5" s="36">
        <v>258299.99999999971</v>
      </c>
      <c r="R5" s="36">
        <v>258299.99999999971</v>
      </c>
      <c r="S5" s="36">
        <v>258299.99999999971</v>
      </c>
      <c r="T5" s="36">
        <v>258299.99999999971</v>
      </c>
      <c r="U5" s="36">
        <v>258299.99999999971</v>
      </c>
      <c r="V5" s="36">
        <v>258299.99999999971</v>
      </c>
      <c r="W5" s="5"/>
      <c r="X5" s="17"/>
    </row>
    <row r="6" spans="1:24" s="18" customFormat="1" ht="14.25">
      <c r="A6" s="38" t="s">
        <v>14</v>
      </c>
      <c r="B6" s="35" t="s">
        <v>1</v>
      </c>
      <c r="C6" s="36">
        <v>741.69656149715581</v>
      </c>
      <c r="D6" s="36">
        <v>11761.868485189656</v>
      </c>
      <c r="E6" s="36">
        <v>80017.572868292147</v>
      </c>
      <c r="F6" s="36">
        <v>139049.99999999985</v>
      </c>
      <c r="G6" s="36">
        <v>139049.99999999985</v>
      </c>
      <c r="H6" s="36">
        <v>139049.99999999985</v>
      </c>
      <c r="I6" s="36">
        <v>139049.99999999985</v>
      </c>
      <c r="J6" s="36">
        <v>139049.99999999985</v>
      </c>
      <c r="K6" s="36">
        <v>139049.99999999985</v>
      </c>
      <c r="L6" s="36">
        <v>139049.99999999985</v>
      </c>
      <c r="M6" s="36">
        <v>139049.99999999985</v>
      </c>
      <c r="N6" s="36">
        <v>139049.99999999985</v>
      </c>
      <c r="O6" s="36">
        <v>139049.99999999985</v>
      </c>
      <c r="P6" s="36">
        <v>139049.99999999985</v>
      </c>
      <c r="Q6" s="36">
        <v>139049.99999999985</v>
      </c>
      <c r="R6" s="36">
        <v>139049.99999999985</v>
      </c>
      <c r="S6" s="36">
        <v>139049.99999999985</v>
      </c>
      <c r="T6" s="36">
        <v>139049.99999999985</v>
      </c>
      <c r="U6" s="36">
        <v>139049.99999999985</v>
      </c>
      <c r="V6" s="36">
        <v>139049.99999999985</v>
      </c>
      <c r="W6" s="5"/>
      <c r="X6" s="17"/>
    </row>
    <row r="7" spans="1:24" s="18" customFormat="1" ht="14.25">
      <c r="A7" s="38" t="s">
        <v>15</v>
      </c>
      <c r="B7" s="35" t="s">
        <v>1</v>
      </c>
      <c r="C7" s="36">
        <v>994.85047769678386</v>
      </c>
      <c r="D7" s="36">
        <v>23703.307481603581</v>
      </c>
      <c r="E7" s="36">
        <v>73828.968182413373</v>
      </c>
      <c r="F7" s="36">
        <v>170399.9999999998</v>
      </c>
      <c r="G7" s="36">
        <v>170399.9999999998</v>
      </c>
      <c r="H7" s="36">
        <v>170399.9999999998</v>
      </c>
      <c r="I7" s="36">
        <v>170399.9999999998</v>
      </c>
      <c r="J7" s="36">
        <v>170399.9999999998</v>
      </c>
      <c r="K7" s="36">
        <v>170399.9999999998</v>
      </c>
      <c r="L7" s="36">
        <v>170399.9999999998</v>
      </c>
      <c r="M7" s="36">
        <v>170399.9999999998</v>
      </c>
      <c r="N7" s="36">
        <v>170399.9999999998</v>
      </c>
      <c r="O7" s="36">
        <v>170399.9999999998</v>
      </c>
      <c r="P7" s="36">
        <v>170399.9999999998</v>
      </c>
      <c r="Q7" s="36">
        <v>170399.9999999998</v>
      </c>
      <c r="R7" s="36">
        <v>170399.9999999998</v>
      </c>
      <c r="S7" s="36">
        <v>170399.9999999998</v>
      </c>
      <c r="T7" s="36">
        <v>170399.9999999998</v>
      </c>
      <c r="U7" s="36">
        <v>170399.9999999998</v>
      </c>
      <c r="V7" s="36">
        <v>170399.9999999998</v>
      </c>
      <c r="W7" s="5"/>
      <c r="X7" s="17"/>
    </row>
    <row r="8" spans="1:24" s="18" customFormat="1" ht="14.25">
      <c r="A8" s="39" t="s">
        <v>16</v>
      </c>
      <c r="B8" s="40" t="s">
        <v>1</v>
      </c>
      <c r="C8" s="36">
        <v>852.72898088295756</v>
      </c>
      <c r="D8" s="36">
        <v>42737.781671376157</v>
      </c>
      <c r="E8" s="36">
        <v>144617.92002790383</v>
      </c>
      <c r="F8" s="36">
        <v>256799.99999999971</v>
      </c>
      <c r="G8" s="36">
        <v>256799.99999999971</v>
      </c>
      <c r="H8" s="36">
        <v>256799.99999999971</v>
      </c>
      <c r="I8" s="36">
        <v>256799.99999999971</v>
      </c>
      <c r="J8" s="36">
        <v>256799.99999999971</v>
      </c>
      <c r="K8" s="36">
        <v>256799.99999999971</v>
      </c>
      <c r="L8" s="36">
        <v>256799.99999999971</v>
      </c>
      <c r="M8" s="36">
        <v>256799.99999999971</v>
      </c>
      <c r="N8" s="36">
        <v>256799.99999999971</v>
      </c>
      <c r="O8" s="36">
        <v>256799.99999999971</v>
      </c>
      <c r="P8" s="36">
        <v>256799.99999999971</v>
      </c>
      <c r="Q8" s="36">
        <v>256799.99999999971</v>
      </c>
      <c r="R8" s="36">
        <v>256799.99999999971</v>
      </c>
      <c r="S8" s="36">
        <v>256799.99999999971</v>
      </c>
      <c r="T8" s="36">
        <v>256799.99999999971</v>
      </c>
      <c r="U8" s="36">
        <v>256799.99999999971</v>
      </c>
      <c r="V8" s="36">
        <v>256799.99999999971</v>
      </c>
      <c r="W8" s="5"/>
      <c r="X8" s="17"/>
    </row>
    <row r="9" spans="1:24" s="18" customFormat="1" ht="14.25">
      <c r="A9" s="39" t="s">
        <v>17</v>
      </c>
      <c r="B9" s="40" t="s">
        <v>1</v>
      </c>
      <c r="C9" s="36">
        <v>15311.370633302064</v>
      </c>
      <c r="D9" s="36">
        <v>171265.37508014703</v>
      </c>
      <c r="E9" s="36">
        <v>454102.44032785861</v>
      </c>
      <c r="F9" s="36">
        <v>737624.99999999919</v>
      </c>
      <c r="G9" s="36">
        <v>737624.99999999919</v>
      </c>
      <c r="H9" s="36">
        <v>737624.99999999919</v>
      </c>
      <c r="I9" s="36">
        <v>737624.99999999919</v>
      </c>
      <c r="J9" s="36">
        <v>737624.99999999919</v>
      </c>
      <c r="K9" s="36">
        <v>737624.99999999919</v>
      </c>
      <c r="L9" s="36">
        <v>737624.99999999919</v>
      </c>
      <c r="M9" s="36">
        <v>737624.99999999919</v>
      </c>
      <c r="N9" s="36">
        <v>737624.99999999919</v>
      </c>
      <c r="O9" s="36">
        <v>737624.99999999919</v>
      </c>
      <c r="P9" s="36">
        <v>737624.99999999919</v>
      </c>
      <c r="Q9" s="36">
        <v>737624.99999999919</v>
      </c>
      <c r="R9" s="36">
        <v>737624.99999999919</v>
      </c>
      <c r="S9" s="36">
        <v>737624.99999999919</v>
      </c>
      <c r="T9" s="36">
        <v>737624.99999999919</v>
      </c>
      <c r="U9" s="36">
        <v>737624.99999999919</v>
      </c>
      <c r="V9" s="36">
        <v>737624.99999999919</v>
      </c>
      <c r="W9" s="5"/>
      <c r="X9" s="17"/>
    </row>
    <row r="10" spans="1:24" s="18" customFormat="1" thickBot="1">
      <c r="A10" s="434" t="s">
        <v>45</v>
      </c>
      <c r="B10" s="42" t="s">
        <v>1</v>
      </c>
      <c r="C10" s="36">
        <v>175.4312226295668</v>
      </c>
      <c r="D10" s="36">
        <v>1773.2587983396618</v>
      </c>
      <c r="E10" s="36">
        <v>4288.594475301953</v>
      </c>
      <c r="F10" s="36">
        <v>5924.9999999999936</v>
      </c>
      <c r="G10" s="36">
        <v>5924.9999999999936</v>
      </c>
      <c r="H10" s="36">
        <v>5924.9999999999936</v>
      </c>
      <c r="I10" s="36">
        <v>5924.9999999999936</v>
      </c>
      <c r="J10" s="36">
        <v>5924.9999999999936</v>
      </c>
      <c r="K10" s="36">
        <v>5924.9999999999936</v>
      </c>
      <c r="L10" s="36">
        <v>5924.9999999999936</v>
      </c>
      <c r="M10" s="36">
        <v>5924.9999999999936</v>
      </c>
      <c r="N10" s="36">
        <v>5924.9999999999936</v>
      </c>
      <c r="O10" s="36">
        <v>5924.9999999999936</v>
      </c>
      <c r="P10" s="36">
        <v>5924.9999999999936</v>
      </c>
      <c r="Q10" s="36">
        <v>5924.9999999999936</v>
      </c>
      <c r="R10" s="36">
        <v>5924.9999999999936</v>
      </c>
      <c r="S10" s="36">
        <v>5924.9999999999936</v>
      </c>
      <c r="T10" s="36">
        <v>5924.9999999999936</v>
      </c>
      <c r="U10" s="36">
        <v>5924.9999999999936</v>
      </c>
      <c r="V10" s="36">
        <v>5924.9999999999936</v>
      </c>
      <c r="W10" s="5"/>
      <c r="X10" s="17"/>
    </row>
    <row r="11" spans="1:24" s="48" customFormat="1" thickBot="1">
      <c r="A11" s="43" t="s">
        <v>19</v>
      </c>
      <c r="B11" s="44" t="s">
        <v>1</v>
      </c>
      <c r="C11" s="45">
        <v>20998.45115424283</v>
      </c>
      <c r="D11" s="45">
        <v>304663.81860587629</v>
      </c>
      <c r="E11" s="45">
        <v>886056.19020099333</v>
      </c>
      <c r="F11" s="45">
        <v>1568099.9999999981</v>
      </c>
      <c r="G11" s="45">
        <v>1568099.9999999981</v>
      </c>
      <c r="H11" s="45">
        <v>1568099.9999999981</v>
      </c>
      <c r="I11" s="45">
        <v>1568099.9999999981</v>
      </c>
      <c r="J11" s="45">
        <v>1568099.9999999981</v>
      </c>
      <c r="K11" s="45">
        <v>1568099.9999999981</v>
      </c>
      <c r="L11" s="45">
        <v>1568099.9999999981</v>
      </c>
      <c r="M11" s="45">
        <v>1568099.9999999981</v>
      </c>
      <c r="N11" s="45">
        <v>1568099.9999999981</v>
      </c>
      <c r="O11" s="45">
        <v>1568099.9999999981</v>
      </c>
      <c r="P11" s="45">
        <v>1568099.9999999981</v>
      </c>
      <c r="Q11" s="45">
        <v>1568099.9999999981</v>
      </c>
      <c r="R11" s="45">
        <v>1568099.9999999981</v>
      </c>
      <c r="S11" s="45">
        <v>1568099.9999999981</v>
      </c>
      <c r="T11" s="45">
        <v>1568099.9999999981</v>
      </c>
      <c r="U11" s="45">
        <v>1568099.9999999981</v>
      </c>
      <c r="V11" s="46">
        <v>1568099.9999999981</v>
      </c>
      <c r="W11" s="14"/>
      <c r="X11" s="47"/>
    </row>
    <row r="12" spans="1:24" s="18" customFormat="1" ht="14.25">
      <c r="A12" s="49" t="s">
        <v>3</v>
      </c>
      <c r="B12" s="50"/>
      <c r="C12" s="36"/>
      <c r="D12" s="36"/>
      <c r="E12" s="36"/>
      <c r="F12" s="36"/>
      <c r="G12" s="36"/>
      <c r="H12" s="36"/>
      <c r="I12" s="36"/>
      <c r="J12" s="36"/>
      <c r="K12" s="36"/>
      <c r="L12" s="36"/>
      <c r="M12" s="36"/>
      <c r="N12" s="36"/>
      <c r="O12" s="36"/>
      <c r="P12" s="36"/>
      <c r="Q12" s="36"/>
      <c r="R12" s="36"/>
      <c r="S12" s="36"/>
      <c r="T12" s="36"/>
      <c r="U12" s="36"/>
      <c r="V12" s="37"/>
      <c r="W12" s="5"/>
      <c r="X12" s="17"/>
    </row>
    <row r="13" spans="1:24" s="18" customFormat="1" ht="14.25">
      <c r="A13" s="41" t="s">
        <v>35</v>
      </c>
      <c r="B13" s="35" t="s">
        <v>1</v>
      </c>
      <c r="C13" s="36">
        <v>102462.22752479999</v>
      </c>
      <c r="D13" s="36">
        <v>933225.96829587861</v>
      </c>
      <c r="E13" s="36">
        <v>1469105.0576462231</v>
      </c>
      <c r="F13" s="36">
        <v>955757.77607441426</v>
      </c>
      <c r="G13" s="36">
        <v>0</v>
      </c>
      <c r="H13" s="36">
        <v>0</v>
      </c>
      <c r="I13" s="36"/>
      <c r="J13" s="36"/>
      <c r="K13" s="36"/>
      <c r="L13" s="36"/>
      <c r="M13" s="36"/>
      <c r="N13" s="36"/>
      <c r="O13" s="36"/>
      <c r="P13" s="36"/>
      <c r="Q13" s="36"/>
      <c r="R13" s="36"/>
      <c r="S13" s="36"/>
      <c r="T13" s="36"/>
      <c r="U13" s="36"/>
      <c r="V13" s="37"/>
      <c r="W13" s="5"/>
      <c r="X13" s="17"/>
    </row>
    <row r="14" spans="1:24" s="18" customFormat="1" ht="14.25">
      <c r="A14" s="51" t="s">
        <v>13</v>
      </c>
      <c r="B14" s="35" t="s">
        <v>1</v>
      </c>
      <c r="C14" s="36">
        <v>6786.7456025377478</v>
      </c>
      <c r="D14" s="36">
        <v>68600.424550451571</v>
      </c>
      <c r="E14" s="36">
        <v>165908.89158756746</v>
      </c>
      <c r="F14" s="36">
        <v>229214.99999999974</v>
      </c>
      <c r="G14" s="36">
        <v>229214.99999999974</v>
      </c>
      <c r="H14" s="36">
        <v>229214.99999999974</v>
      </c>
      <c r="I14" s="36">
        <v>229214.99999999974</v>
      </c>
      <c r="J14" s="36">
        <v>229214.99999999974</v>
      </c>
      <c r="K14" s="36">
        <v>229214.99999999974</v>
      </c>
      <c r="L14" s="36">
        <v>229214.99999999974</v>
      </c>
      <c r="M14" s="36">
        <v>229214.99999999974</v>
      </c>
      <c r="N14" s="36">
        <v>229214.99999999974</v>
      </c>
      <c r="O14" s="36">
        <v>229214.99999999974</v>
      </c>
      <c r="P14" s="36">
        <v>229214.99999999974</v>
      </c>
      <c r="Q14" s="36">
        <v>229214.99999999974</v>
      </c>
      <c r="R14" s="36">
        <v>229214.99999999974</v>
      </c>
      <c r="S14" s="36">
        <v>229214.99999999974</v>
      </c>
      <c r="T14" s="36">
        <v>229214.99999999974</v>
      </c>
      <c r="U14" s="36">
        <v>229214.99999999974</v>
      </c>
      <c r="V14" s="36">
        <v>229214.99999999974</v>
      </c>
      <c r="W14" s="5"/>
      <c r="X14" s="17"/>
    </row>
    <row r="15" spans="1:24" s="48" customFormat="1" ht="14.25">
      <c r="A15" s="38" t="s">
        <v>14</v>
      </c>
      <c r="B15" s="35" t="s">
        <v>1</v>
      </c>
      <c r="C15" s="36">
        <v>3126.6729299041781</v>
      </c>
      <c r="D15" s="36">
        <v>31604.409975471441</v>
      </c>
      <c r="E15" s="36">
        <v>76434.696471204428</v>
      </c>
      <c r="F15" s="36">
        <v>105599.99999999987</v>
      </c>
      <c r="G15" s="36">
        <v>105599.99999999987</v>
      </c>
      <c r="H15" s="36">
        <v>105599.99999999987</v>
      </c>
      <c r="I15" s="36">
        <v>105599.99999999987</v>
      </c>
      <c r="J15" s="36">
        <v>105599.99999999987</v>
      </c>
      <c r="K15" s="36">
        <v>105599.99999999987</v>
      </c>
      <c r="L15" s="36">
        <v>105599.99999999987</v>
      </c>
      <c r="M15" s="36">
        <v>105599.99999999987</v>
      </c>
      <c r="N15" s="36">
        <v>105599.99999999987</v>
      </c>
      <c r="O15" s="36">
        <v>105599.99999999987</v>
      </c>
      <c r="P15" s="36">
        <v>105599.99999999987</v>
      </c>
      <c r="Q15" s="36">
        <v>105599.99999999987</v>
      </c>
      <c r="R15" s="36">
        <v>105599.99999999987</v>
      </c>
      <c r="S15" s="36">
        <v>105599.99999999987</v>
      </c>
      <c r="T15" s="36">
        <v>105599.99999999987</v>
      </c>
      <c r="U15" s="36">
        <v>105599.99999999987</v>
      </c>
      <c r="V15" s="36">
        <v>105599.99999999987</v>
      </c>
      <c r="W15" s="5"/>
      <c r="X15" s="47"/>
    </row>
    <row r="16" spans="1:24" s="48" customFormat="1" ht="14.25">
      <c r="A16" s="38" t="s">
        <v>15</v>
      </c>
      <c r="B16" s="35" t="s">
        <v>1</v>
      </c>
      <c r="C16" s="36">
        <v>3922.1091823840616</v>
      </c>
      <c r="D16" s="36">
        <v>39644.679615538109</v>
      </c>
      <c r="E16" s="36">
        <v>95879.943826307717</v>
      </c>
      <c r="F16" s="36">
        <v>132464.99999999983</v>
      </c>
      <c r="G16" s="36">
        <v>132464.99999999983</v>
      </c>
      <c r="H16" s="36">
        <v>132464.99999999983</v>
      </c>
      <c r="I16" s="36">
        <v>132464.99999999983</v>
      </c>
      <c r="J16" s="36">
        <v>132464.99999999983</v>
      </c>
      <c r="K16" s="36">
        <v>132464.99999999983</v>
      </c>
      <c r="L16" s="36">
        <v>132464.99999999983</v>
      </c>
      <c r="M16" s="36">
        <v>132464.99999999983</v>
      </c>
      <c r="N16" s="36">
        <v>132464.99999999983</v>
      </c>
      <c r="O16" s="36">
        <v>132464.99999999983</v>
      </c>
      <c r="P16" s="36">
        <v>132464.99999999983</v>
      </c>
      <c r="Q16" s="36">
        <v>132464.99999999983</v>
      </c>
      <c r="R16" s="36">
        <v>132464.99999999983</v>
      </c>
      <c r="S16" s="36">
        <v>132464.99999999983</v>
      </c>
      <c r="T16" s="36">
        <v>132464.99999999983</v>
      </c>
      <c r="U16" s="36">
        <v>132464.99999999983</v>
      </c>
      <c r="V16" s="36">
        <v>132464.99999999983</v>
      </c>
      <c r="W16" s="5"/>
      <c r="X16" s="47"/>
    </row>
    <row r="17" spans="1:24" s="48" customFormat="1" ht="14.25">
      <c r="A17" s="39" t="s">
        <v>16</v>
      </c>
      <c r="B17" s="40" t="s">
        <v>1</v>
      </c>
      <c r="C17" s="36">
        <v>6128.9895500962575</v>
      </c>
      <c r="D17" s="36">
        <v>61951.826372372991</v>
      </c>
      <c r="E17" s="36">
        <v>149829.37660548597</v>
      </c>
      <c r="F17" s="36">
        <v>206999.9999999998</v>
      </c>
      <c r="G17" s="36">
        <v>206999.9999999998</v>
      </c>
      <c r="H17" s="36">
        <v>206999.9999999998</v>
      </c>
      <c r="I17" s="36">
        <v>206999.9999999998</v>
      </c>
      <c r="J17" s="36">
        <v>206999.9999999998</v>
      </c>
      <c r="K17" s="36">
        <v>206999.9999999998</v>
      </c>
      <c r="L17" s="36">
        <v>206999.9999999998</v>
      </c>
      <c r="M17" s="36">
        <v>206999.9999999998</v>
      </c>
      <c r="N17" s="36">
        <v>206999.9999999998</v>
      </c>
      <c r="O17" s="36">
        <v>206999.9999999998</v>
      </c>
      <c r="P17" s="36">
        <v>206999.9999999998</v>
      </c>
      <c r="Q17" s="36">
        <v>206999.9999999998</v>
      </c>
      <c r="R17" s="36">
        <v>206999.9999999998</v>
      </c>
      <c r="S17" s="36">
        <v>206999.9999999998</v>
      </c>
      <c r="T17" s="36">
        <v>206999.9999999998</v>
      </c>
      <c r="U17" s="36">
        <v>206999.9999999998</v>
      </c>
      <c r="V17" s="36">
        <v>206999.9999999998</v>
      </c>
      <c r="W17" s="5"/>
      <c r="X17" s="47"/>
    </row>
    <row r="18" spans="1:24" s="18" customFormat="1" thickBot="1">
      <c r="A18" s="39" t="s">
        <v>17</v>
      </c>
      <c r="B18" s="40" t="s">
        <v>1</v>
      </c>
      <c r="C18" s="36">
        <v>14161.629930562087</v>
      </c>
      <c r="D18" s="36">
        <v>143145.75533812161</v>
      </c>
      <c r="E18" s="36">
        <v>346195.43186859979</v>
      </c>
      <c r="F18" s="36">
        <v>478293.74999999948</v>
      </c>
      <c r="G18" s="36">
        <v>478293.74999999948</v>
      </c>
      <c r="H18" s="36">
        <v>478293.74999999948</v>
      </c>
      <c r="I18" s="36">
        <v>478293.74999999948</v>
      </c>
      <c r="J18" s="36">
        <v>478293.74999999948</v>
      </c>
      <c r="K18" s="36">
        <v>478293.74999999948</v>
      </c>
      <c r="L18" s="36">
        <v>478293.74999999948</v>
      </c>
      <c r="M18" s="36">
        <v>478293.74999999948</v>
      </c>
      <c r="N18" s="36">
        <v>478293.74999999948</v>
      </c>
      <c r="O18" s="36">
        <v>478293.74999999948</v>
      </c>
      <c r="P18" s="36">
        <v>478293.74999999948</v>
      </c>
      <c r="Q18" s="36">
        <v>478293.74999999948</v>
      </c>
      <c r="R18" s="36">
        <v>478293.74999999948</v>
      </c>
      <c r="S18" s="36">
        <v>478293.74999999948</v>
      </c>
      <c r="T18" s="36">
        <v>478293.74999999948</v>
      </c>
      <c r="U18" s="36">
        <v>478293.74999999948</v>
      </c>
      <c r="V18" s="36">
        <v>478293.74999999948</v>
      </c>
      <c r="W18" s="5"/>
      <c r="X18" s="17"/>
    </row>
    <row r="19" spans="1:24" s="48" customFormat="1" thickBot="1">
      <c r="A19" s="52" t="s">
        <v>21</v>
      </c>
      <c r="B19" s="44" t="s">
        <v>1</v>
      </c>
      <c r="C19" s="45">
        <v>136588.37472028434</v>
      </c>
      <c r="D19" s="45">
        <v>1278173.0641478344</v>
      </c>
      <c r="E19" s="45">
        <v>2303353.3980053887</v>
      </c>
      <c r="F19" s="45">
        <v>2108331.5260744127</v>
      </c>
      <c r="G19" s="45">
        <v>1152573.7499999986</v>
      </c>
      <c r="H19" s="45">
        <v>1152573.7499999986</v>
      </c>
      <c r="I19" s="45">
        <v>1152573.7499999986</v>
      </c>
      <c r="J19" s="45">
        <v>1152573.7499999986</v>
      </c>
      <c r="K19" s="45">
        <v>1152573.7499999986</v>
      </c>
      <c r="L19" s="45">
        <v>1152573.7499999986</v>
      </c>
      <c r="M19" s="45">
        <v>1152573.7499999986</v>
      </c>
      <c r="N19" s="45">
        <v>1152573.7499999986</v>
      </c>
      <c r="O19" s="45">
        <v>1152573.7499999986</v>
      </c>
      <c r="P19" s="45">
        <v>1152573.7499999986</v>
      </c>
      <c r="Q19" s="45">
        <v>1152573.7499999986</v>
      </c>
      <c r="R19" s="45">
        <v>1152573.7499999986</v>
      </c>
      <c r="S19" s="45">
        <v>1152573.7499999986</v>
      </c>
      <c r="T19" s="45">
        <v>1152573.7499999986</v>
      </c>
      <c r="U19" s="45">
        <v>1152573.7499999986</v>
      </c>
      <c r="V19" s="46">
        <v>1152573.7499999986</v>
      </c>
      <c r="W19" s="14"/>
      <c r="X19" s="47"/>
    </row>
    <row r="20" spans="1:24" s="48" customFormat="1" ht="14.25">
      <c r="A20" s="53" t="s">
        <v>0</v>
      </c>
      <c r="B20" s="54" t="s">
        <v>1</v>
      </c>
      <c r="C20" s="45">
        <v>-115589.92356604151</v>
      </c>
      <c r="D20" s="45">
        <v>-973509.24554195814</v>
      </c>
      <c r="E20" s="45">
        <v>-1417297.2078043954</v>
      </c>
      <c r="F20" s="45">
        <v>-540231.52607441461</v>
      </c>
      <c r="G20" s="45">
        <v>415526.24999999953</v>
      </c>
      <c r="H20" s="45">
        <v>415526.24999999953</v>
      </c>
      <c r="I20" s="45">
        <v>415526.24999999953</v>
      </c>
      <c r="J20" s="45">
        <v>415526.24999999953</v>
      </c>
      <c r="K20" s="45">
        <v>415526.24999999953</v>
      </c>
      <c r="L20" s="45">
        <v>415526.24999999953</v>
      </c>
      <c r="M20" s="45">
        <v>415526.24999999953</v>
      </c>
      <c r="N20" s="45">
        <v>415526.24999999953</v>
      </c>
      <c r="O20" s="45">
        <v>415526.24999999953</v>
      </c>
      <c r="P20" s="45">
        <v>415526.24999999953</v>
      </c>
      <c r="Q20" s="45">
        <v>415526.24999999953</v>
      </c>
      <c r="R20" s="45">
        <v>415526.24999999953</v>
      </c>
      <c r="S20" s="45">
        <v>415526.24999999953</v>
      </c>
      <c r="T20" s="45">
        <v>415526.24999999953</v>
      </c>
      <c r="U20" s="45">
        <v>415526.24999999953</v>
      </c>
      <c r="V20" s="46">
        <v>415526.24999999953</v>
      </c>
      <c r="W20" s="14"/>
      <c r="X20" s="47"/>
    </row>
    <row r="21" spans="1:24" s="18" customFormat="1" ht="14.25">
      <c r="A21" s="55"/>
      <c r="B21" s="56"/>
      <c r="C21" s="36"/>
      <c r="D21" s="36"/>
      <c r="E21" s="36"/>
      <c r="F21" s="36"/>
      <c r="G21" s="36"/>
      <c r="H21" s="36"/>
      <c r="I21" s="36"/>
      <c r="J21" s="36"/>
      <c r="K21" s="36"/>
      <c r="L21" s="36"/>
      <c r="M21" s="36"/>
      <c r="N21" s="36"/>
      <c r="O21" s="36"/>
      <c r="P21" s="36"/>
      <c r="Q21" s="36"/>
      <c r="R21" s="36"/>
      <c r="S21" s="36"/>
      <c r="T21" s="36"/>
      <c r="U21" s="36"/>
      <c r="V21" s="37"/>
      <c r="W21" s="5"/>
      <c r="X21" s="17"/>
    </row>
    <row r="22" spans="1:24" s="18" customFormat="1" ht="14.25">
      <c r="A22" s="57" t="s">
        <v>36</v>
      </c>
      <c r="B22" s="54" t="s">
        <v>1</v>
      </c>
      <c r="C22" s="36">
        <v>490.47723877005188</v>
      </c>
      <c r="D22" s="36">
        <v>5078.6645131337273</v>
      </c>
      <c r="E22" s="36">
        <v>12575.10293522356</v>
      </c>
      <c r="F22" s="36">
        <v>17777.436765597577</v>
      </c>
      <c r="G22" s="36">
        <v>18181.469419361158</v>
      </c>
      <c r="H22" s="36">
        <v>18585.502073124739</v>
      </c>
      <c r="I22" s="36">
        <v>18989.534726888323</v>
      </c>
      <c r="J22" s="36">
        <v>19393.567380651904</v>
      </c>
      <c r="K22" s="36">
        <v>19797.600034415485</v>
      </c>
      <c r="L22" s="36">
        <v>20201.632688179066</v>
      </c>
      <c r="M22" s="36">
        <v>20605.665341942648</v>
      </c>
      <c r="N22" s="36">
        <v>21009.697995706229</v>
      </c>
      <c r="O22" s="36">
        <v>21413.73064946981</v>
      </c>
      <c r="P22" s="36">
        <v>22221.795956996972</v>
      </c>
      <c r="Q22" s="36">
        <v>22625.828610760553</v>
      </c>
      <c r="R22" s="36">
        <v>23029.861264524134</v>
      </c>
      <c r="S22" s="36">
        <v>23433.893918287718</v>
      </c>
      <c r="T22" s="36">
        <v>24241.95922581488</v>
      </c>
      <c r="U22" s="36">
        <v>24645.991879578458</v>
      </c>
      <c r="V22" s="36">
        <v>25454.05718710562</v>
      </c>
      <c r="W22" s="5"/>
      <c r="X22" s="17"/>
    </row>
    <row r="23" spans="1:24" s="18" customFormat="1" ht="14.25">
      <c r="A23" s="57" t="s">
        <v>37</v>
      </c>
      <c r="B23" s="54" t="s">
        <v>1</v>
      </c>
      <c r="C23" s="36">
        <v>980.95447754010377</v>
      </c>
      <c r="D23" s="36">
        <v>10157.329026267455</v>
      </c>
      <c r="E23" s="36">
        <v>25150.20587044712</v>
      </c>
      <c r="F23" s="36">
        <v>35150.840877431576</v>
      </c>
      <c r="G23" s="36">
        <v>35958.906184958738</v>
      </c>
      <c r="H23" s="36">
        <v>36766.9714924859</v>
      </c>
      <c r="I23" s="36">
        <v>37979.069453776647</v>
      </c>
      <c r="J23" s="36">
        <v>38787.134761303809</v>
      </c>
      <c r="K23" s="36">
        <v>39595.200068830971</v>
      </c>
      <c r="L23" s="36">
        <v>40403.265376358133</v>
      </c>
      <c r="M23" s="36">
        <v>41211.330683885295</v>
      </c>
      <c r="N23" s="36">
        <v>42423.428645176034</v>
      </c>
      <c r="O23" s="36">
        <v>43231.493952703197</v>
      </c>
      <c r="P23" s="36">
        <v>44039.559260230359</v>
      </c>
      <c r="Q23" s="36">
        <v>45251.657221521105</v>
      </c>
      <c r="R23" s="36">
        <v>46059.722529048267</v>
      </c>
      <c r="S23" s="36">
        <v>47271.820490339014</v>
      </c>
      <c r="T23" s="36">
        <v>48483.918451629761</v>
      </c>
      <c r="U23" s="36">
        <v>49291.983759156916</v>
      </c>
      <c r="V23" s="36">
        <v>50504.08172044767</v>
      </c>
      <c r="W23" s="5"/>
      <c r="X23" s="17"/>
    </row>
    <row r="24" spans="1:24" s="18" customFormat="1" ht="14.25">
      <c r="A24" s="58"/>
      <c r="B24" s="54"/>
      <c r="C24" s="36"/>
      <c r="D24" s="36"/>
      <c r="E24" s="36"/>
      <c r="F24" s="36"/>
      <c r="G24" s="36"/>
      <c r="H24" s="36"/>
      <c r="I24" s="36"/>
      <c r="J24" s="36"/>
      <c r="K24" s="36"/>
      <c r="L24" s="36"/>
      <c r="M24" s="36"/>
      <c r="N24" s="36"/>
      <c r="O24" s="36"/>
      <c r="P24" s="36"/>
      <c r="Q24" s="36"/>
      <c r="R24" s="36"/>
      <c r="S24" s="36"/>
      <c r="T24" s="36"/>
      <c r="U24" s="36"/>
      <c r="V24" s="37"/>
      <c r="W24" s="5"/>
      <c r="X24" s="17"/>
    </row>
    <row r="25" spans="1:24" s="48" customFormat="1" ht="14.25">
      <c r="A25" s="59" t="s">
        <v>38</v>
      </c>
      <c r="B25" s="54"/>
      <c r="C25" s="45">
        <v>-115099.44632727146</v>
      </c>
      <c r="D25" s="45">
        <v>-968430.58102882444</v>
      </c>
      <c r="E25" s="45">
        <v>-1404722.1048691717</v>
      </c>
      <c r="F25" s="45">
        <v>-522454.08930881706</v>
      </c>
      <c r="G25" s="45">
        <v>433707.71941936068</v>
      </c>
      <c r="H25" s="45">
        <v>434111.75207312428</v>
      </c>
      <c r="I25" s="45">
        <v>434515.78472688788</v>
      </c>
      <c r="J25" s="45">
        <v>434919.81738065142</v>
      </c>
      <c r="K25" s="45">
        <v>435323.85003441502</v>
      </c>
      <c r="L25" s="45">
        <v>435727.88268817862</v>
      </c>
      <c r="M25" s="45">
        <v>436131.91534194216</v>
      </c>
      <c r="N25" s="45">
        <v>436535.94799570576</v>
      </c>
      <c r="O25" s="45">
        <v>436939.98064946936</v>
      </c>
      <c r="P25" s="45">
        <v>437748.0459569965</v>
      </c>
      <c r="Q25" s="45">
        <v>438152.0786107601</v>
      </c>
      <c r="R25" s="45">
        <v>438556.11126452364</v>
      </c>
      <c r="S25" s="45">
        <v>438960.14391828724</v>
      </c>
      <c r="T25" s="45">
        <v>439768.20922581444</v>
      </c>
      <c r="U25" s="45">
        <v>440172.24187957798</v>
      </c>
      <c r="V25" s="46">
        <v>440980.30718710518</v>
      </c>
      <c r="W25" s="14"/>
      <c r="X25" s="47"/>
    </row>
    <row r="26" spans="1:24" s="48" customFormat="1" thickBot="1">
      <c r="A26" s="60" t="s">
        <v>39</v>
      </c>
      <c r="B26" s="61"/>
      <c r="C26" s="62">
        <v>-114608.96908850141</v>
      </c>
      <c r="D26" s="62">
        <v>-963351.91651569074</v>
      </c>
      <c r="E26" s="62">
        <v>-1392147.0019339481</v>
      </c>
      <c r="F26" s="62">
        <v>-505080.68519698305</v>
      </c>
      <c r="G26" s="62">
        <v>451485.15618495829</v>
      </c>
      <c r="H26" s="62">
        <v>452293.22149248543</v>
      </c>
      <c r="I26" s="62">
        <v>453505.31945377617</v>
      </c>
      <c r="J26" s="62">
        <v>454313.38476130331</v>
      </c>
      <c r="K26" s="62">
        <v>455121.45006883051</v>
      </c>
      <c r="L26" s="62">
        <v>455929.51537635765</v>
      </c>
      <c r="M26" s="62">
        <v>456737.58068388485</v>
      </c>
      <c r="N26" s="62">
        <v>457949.67864517559</v>
      </c>
      <c r="O26" s="62">
        <v>458757.74395270273</v>
      </c>
      <c r="P26" s="62">
        <v>459565.80926022987</v>
      </c>
      <c r="Q26" s="62">
        <v>460777.90722152067</v>
      </c>
      <c r="R26" s="62">
        <v>461585.97252904781</v>
      </c>
      <c r="S26" s="62">
        <v>462798.07049033855</v>
      </c>
      <c r="T26" s="62">
        <v>464010.16845162929</v>
      </c>
      <c r="U26" s="62">
        <v>464818.23375915643</v>
      </c>
      <c r="V26" s="63">
        <v>466030.33172044723</v>
      </c>
      <c r="W26" s="14"/>
      <c r="X26" s="47"/>
    </row>
    <row r="27" spans="1:24" s="18" customFormat="1" thickBot="1">
      <c r="A27" s="64"/>
      <c r="B27" s="22"/>
      <c r="C27" s="65"/>
      <c r="D27" s="65"/>
      <c r="E27" s="65"/>
      <c r="F27" s="65"/>
      <c r="G27" s="65"/>
      <c r="H27" s="65"/>
      <c r="I27" s="66"/>
      <c r="J27" s="66"/>
      <c r="K27" s="67"/>
      <c r="L27" s="67"/>
      <c r="M27" s="67"/>
      <c r="N27" s="67"/>
      <c r="O27" s="67"/>
      <c r="P27" s="67"/>
      <c r="Q27" s="67"/>
      <c r="R27" s="67"/>
      <c r="S27" s="67"/>
      <c r="T27" s="67"/>
      <c r="U27" s="67"/>
      <c r="V27" s="68"/>
      <c r="W27" s="69"/>
      <c r="X27" s="17"/>
    </row>
    <row r="28" spans="1:24" s="18" customFormat="1" ht="14.25">
      <c r="A28" s="134" t="s">
        <v>22</v>
      </c>
      <c r="B28" s="135"/>
      <c r="C28" s="70"/>
      <c r="D28" s="71"/>
      <c r="E28" s="71"/>
      <c r="F28" s="71"/>
      <c r="G28" s="71"/>
      <c r="H28" s="71"/>
      <c r="I28" s="72"/>
      <c r="J28" s="72"/>
      <c r="K28" s="66"/>
      <c r="L28" s="66"/>
      <c r="M28" s="66"/>
      <c r="N28" s="66"/>
      <c r="O28" s="66"/>
      <c r="P28" s="66"/>
      <c r="Q28" s="66"/>
      <c r="R28" s="66"/>
      <c r="S28" s="66"/>
      <c r="T28" s="66"/>
      <c r="U28" s="66"/>
      <c r="V28" s="73"/>
      <c r="W28" s="74"/>
      <c r="X28" s="17"/>
    </row>
    <row r="29" spans="1:24" s="18" customFormat="1" ht="14.25">
      <c r="A29" s="53" t="s">
        <v>10</v>
      </c>
      <c r="B29" s="75">
        <v>8.5000000000000006E-2</v>
      </c>
      <c r="C29" s="70"/>
      <c r="D29" s="71"/>
      <c r="E29" s="71"/>
      <c r="F29" s="71"/>
      <c r="G29" s="71"/>
      <c r="H29" s="71"/>
      <c r="I29" s="72"/>
      <c r="J29" s="72"/>
      <c r="K29" s="72"/>
      <c r="L29" s="72"/>
      <c r="M29" s="72"/>
      <c r="N29" s="72"/>
      <c r="O29" s="72"/>
      <c r="P29" s="72"/>
      <c r="Q29" s="72"/>
      <c r="R29" s="72"/>
      <c r="S29" s="72"/>
      <c r="T29" s="72"/>
      <c r="U29" s="72"/>
      <c r="V29" s="76"/>
      <c r="W29" s="74"/>
      <c r="X29" s="17"/>
    </row>
    <row r="30" spans="1:24" s="18" customFormat="1" thickBot="1">
      <c r="A30" s="136" t="s">
        <v>23</v>
      </c>
      <c r="B30" s="137"/>
      <c r="C30" s="77"/>
      <c r="D30" s="72"/>
      <c r="E30" s="72"/>
      <c r="F30" s="72"/>
      <c r="G30" s="72"/>
      <c r="H30" s="72"/>
      <c r="I30" s="72"/>
      <c r="J30" s="72"/>
      <c r="K30" s="72"/>
      <c r="L30" s="72"/>
      <c r="M30" s="72"/>
      <c r="N30" s="72"/>
      <c r="O30" s="72"/>
      <c r="P30" s="72"/>
      <c r="Q30" s="72"/>
      <c r="R30" s="72"/>
      <c r="S30" s="72"/>
      <c r="T30" s="72"/>
      <c r="U30" s="72"/>
      <c r="V30" s="76"/>
      <c r="W30" s="74"/>
      <c r="X30" s="17"/>
    </row>
    <row r="31" spans="1:24" s="18" customFormat="1" thickBot="1">
      <c r="A31" s="78" t="s">
        <v>7</v>
      </c>
      <c r="B31" s="37">
        <v>138250.67242132901</v>
      </c>
      <c r="C31" s="80" t="s">
        <v>1</v>
      </c>
      <c r="D31" s="80"/>
      <c r="E31" s="80"/>
      <c r="F31" s="80"/>
      <c r="G31" s="80"/>
      <c r="H31" s="80"/>
      <c r="I31" s="80"/>
      <c r="J31" s="80"/>
      <c r="K31" s="72"/>
      <c r="L31" s="72"/>
      <c r="M31" s="72"/>
      <c r="N31" s="72"/>
      <c r="O31" s="72"/>
      <c r="P31" s="72"/>
      <c r="Q31" s="72"/>
      <c r="R31" s="72"/>
      <c r="S31" s="72"/>
      <c r="T31" s="72"/>
      <c r="U31" s="72"/>
      <c r="V31" s="76"/>
      <c r="W31" s="74"/>
      <c r="X31" s="17"/>
    </row>
    <row r="32" spans="1:24" s="18" customFormat="1" thickBot="1">
      <c r="A32" s="78" t="s">
        <v>8</v>
      </c>
      <c r="B32" s="75">
        <v>9.25066015523347E-2</v>
      </c>
      <c r="C32" s="82" t="s">
        <v>24</v>
      </c>
      <c r="D32" s="82"/>
      <c r="E32" s="82"/>
      <c r="F32" s="82"/>
      <c r="G32" s="82"/>
      <c r="H32" s="82"/>
      <c r="I32" s="82"/>
      <c r="J32" s="82"/>
      <c r="K32" s="72"/>
      <c r="L32" s="72"/>
      <c r="M32" s="72"/>
      <c r="N32" s="72"/>
      <c r="O32" s="72"/>
      <c r="P32" s="72"/>
      <c r="Q32" s="72"/>
      <c r="R32" s="72"/>
      <c r="S32" s="72"/>
      <c r="T32" s="72"/>
      <c r="U32" s="72"/>
      <c r="V32" s="76"/>
      <c r="W32" s="74"/>
      <c r="X32" s="17"/>
    </row>
    <row r="33" spans="1:24" s="18" customFormat="1" thickBot="1">
      <c r="A33" s="78" t="s">
        <v>9</v>
      </c>
      <c r="B33" s="75">
        <v>8.8160755916961708E-2</v>
      </c>
      <c r="C33" s="80" t="s">
        <v>24</v>
      </c>
      <c r="D33" s="80"/>
      <c r="E33" s="80"/>
      <c r="F33" s="80"/>
      <c r="G33" s="80"/>
      <c r="H33" s="80"/>
      <c r="I33" s="80"/>
      <c r="J33" s="80"/>
      <c r="K33" s="72"/>
      <c r="L33" s="72"/>
      <c r="M33" s="72"/>
      <c r="N33" s="72"/>
      <c r="O33" s="72"/>
      <c r="P33" s="72"/>
      <c r="Q33" s="72"/>
      <c r="R33" s="72"/>
      <c r="S33" s="72"/>
      <c r="T33" s="72"/>
      <c r="U33" s="72"/>
      <c r="V33" s="76"/>
      <c r="W33" s="74"/>
      <c r="X33" s="17"/>
    </row>
    <row r="34" spans="1:24" s="18" customFormat="1" thickBot="1">
      <c r="A34" s="83" t="s">
        <v>25</v>
      </c>
      <c r="B34" s="84">
        <v>1.1484196288151383</v>
      </c>
      <c r="C34" s="85"/>
      <c r="D34" s="86"/>
      <c r="E34" s="85"/>
      <c r="F34" s="85"/>
      <c r="G34" s="85"/>
      <c r="H34" s="85"/>
      <c r="I34" s="85"/>
      <c r="J34" s="85"/>
      <c r="K34" s="72"/>
      <c r="L34" s="72"/>
      <c r="M34" s="72"/>
      <c r="N34" s="72"/>
      <c r="O34" s="72"/>
      <c r="P34" s="72"/>
      <c r="Q34" s="72"/>
      <c r="R34" s="72"/>
      <c r="S34" s="72"/>
      <c r="T34" s="72"/>
      <c r="U34" s="72"/>
      <c r="V34" s="76"/>
      <c r="W34" s="74"/>
      <c r="X34" s="17"/>
    </row>
    <row r="35" spans="1:24" s="18" customFormat="1" thickBot="1">
      <c r="A35" s="87"/>
      <c r="B35" s="88"/>
      <c r="D35" s="89"/>
      <c r="V35" s="90"/>
      <c r="W35" s="91"/>
      <c r="X35" s="17"/>
    </row>
    <row r="36" spans="1:24" s="18" customFormat="1" thickBot="1">
      <c r="A36" s="138" t="s">
        <v>40</v>
      </c>
      <c r="B36" s="139"/>
      <c r="C36" s="71"/>
      <c r="D36" s="92"/>
      <c r="E36" s="71"/>
      <c r="F36" s="71"/>
      <c r="G36" s="71"/>
      <c r="H36" s="71"/>
      <c r="I36" s="72"/>
      <c r="J36" s="72"/>
      <c r="K36" s="66"/>
      <c r="L36" s="66"/>
      <c r="M36" s="66"/>
      <c r="N36" s="66"/>
      <c r="O36" s="66"/>
      <c r="P36" s="66"/>
      <c r="Q36" s="66"/>
      <c r="R36" s="66"/>
      <c r="S36" s="66"/>
      <c r="T36" s="66"/>
      <c r="U36" s="66"/>
      <c r="V36" s="73"/>
      <c r="W36" s="74"/>
      <c r="X36" s="17"/>
    </row>
    <row r="37" spans="1:24" s="18" customFormat="1" thickBot="1">
      <c r="A37" s="93" t="s">
        <v>10</v>
      </c>
      <c r="B37" s="94">
        <v>8.5000000000000006E-2</v>
      </c>
      <c r="C37" s="71"/>
      <c r="D37" s="71"/>
      <c r="E37" s="71"/>
      <c r="F37" s="71"/>
      <c r="G37" s="71"/>
      <c r="H37" s="71"/>
      <c r="I37" s="72"/>
      <c r="J37" s="72"/>
      <c r="K37" s="72"/>
      <c r="L37" s="72"/>
      <c r="M37" s="72"/>
      <c r="N37" s="72"/>
      <c r="O37" s="72"/>
      <c r="P37" s="72"/>
      <c r="Q37" s="72"/>
      <c r="R37" s="72"/>
      <c r="S37" s="72"/>
      <c r="T37" s="72"/>
      <c r="U37" s="72"/>
      <c r="V37" s="76"/>
      <c r="W37" s="74"/>
      <c r="X37" s="17"/>
    </row>
    <row r="38" spans="1:24" s="18" customFormat="1" thickBot="1">
      <c r="A38" s="140" t="s">
        <v>23</v>
      </c>
      <c r="B38" s="141"/>
      <c r="C38" s="72"/>
      <c r="D38" s="72"/>
      <c r="E38" s="72"/>
      <c r="F38" s="72"/>
      <c r="G38" s="72"/>
      <c r="H38" s="72"/>
      <c r="I38" s="72"/>
      <c r="J38" s="72"/>
      <c r="K38" s="72"/>
      <c r="L38" s="72"/>
      <c r="M38" s="72"/>
      <c r="N38" s="72"/>
      <c r="O38" s="72"/>
      <c r="P38" s="72"/>
      <c r="Q38" s="72"/>
      <c r="R38" s="72"/>
      <c r="S38" s="72"/>
      <c r="T38" s="72"/>
      <c r="U38" s="72"/>
      <c r="V38" s="76"/>
      <c r="W38" s="74"/>
      <c r="X38" s="17"/>
    </row>
    <row r="39" spans="1:24" s="18" customFormat="1" thickBot="1">
      <c r="A39" s="13" t="s">
        <v>7</v>
      </c>
      <c r="B39" s="95">
        <v>293779.97395682271</v>
      </c>
      <c r="C39" s="80" t="s">
        <v>1</v>
      </c>
      <c r="D39" s="80"/>
      <c r="E39" s="80"/>
      <c r="F39" s="80"/>
      <c r="G39" s="80"/>
      <c r="H39" s="80"/>
      <c r="I39" s="80"/>
      <c r="J39" s="80"/>
      <c r="K39" s="72"/>
      <c r="L39" s="72"/>
      <c r="M39" s="72"/>
      <c r="N39" s="72"/>
      <c r="O39" s="72"/>
      <c r="P39" s="72"/>
      <c r="Q39" s="72"/>
      <c r="R39" s="72"/>
      <c r="S39" s="72"/>
      <c r="T39" s="72"/>
      <c r="U39" s="72"/>
      <c r="V39" s="76"/>
      <c r="W39" s="74"/>
      <c r="X39" s="17"/>
    </row>
    <row r="40" spans="1:24" s="18" customFormat="1" thickBot="1">
      <c r="A40" s="51" t="s">
        <v>8</v>
      </c>
      <c r="B40" s="96">
        <v>0.10079619572124689</v>
      </c>
      <c r="C40" s="82" t="s">
        <v>24</v>
      </c>
      <c r="D40" s="82"/>
      <c r="E40" s="82"/>
      <c r="F40" s="82"/>
      <c r="G40" s="82"/>
      <c r="H40" s="82"/>
      <c r="I40" s="82"/>
      <c r="J40" s="82"/>
      <c r="K40" s="72"/>
      <c r="L40" s="72"/>
      <c r="M40" s="72"/>
      <c r="N40" s="72"/>
      <c r="O40" s="72"/>
      <c r="P40" s="72"/>
      <c r="Q40" s="72"/>
      <c r="R40" s="72"/>
      <c r="S40" s="72"/>
      <c r="T40" s="72"/>
      <c r="U40" s="72"/>
      <c r="V40" s="76"/>
      <c r="W40" s="74"/>
      <c r="X40" s="17"/>
    </row>
    <row r="41" spans="1:24" s="18" customFormat="1" thickBot="1">
      <c r="A41" s="83" t="s">
        <v>9</v>
      </c>
      <c r="B41" s="97">
        <v>9.1600132716688432E-2</v>
      </c>
      <c r="C41" s="80" t="s">
        <v>24</v>
      </c>
      <c r="D41" s="80"/>
      <c r="E41" s="80"/>
      <c r="F41" s="80"/>
      <c r="G41" s="80"/>
      <c r="H41" s="80"/>
      <c r="I41" s="80"/>
      <c r="J41" s="80"/>
      <c r="K41" s="72"/>
      <c r="L41" s="72"/>
      <c r="M41" s="72"/>
      <c r="N41" s="72"/>
      <c r="O41" s="72"/>
      <c r="P41" s="72"/>
      <c r="Q41" s="72"/>
      <c r="R41" s="72"/>
      <c r="S41" s="72"/>
      <c r="T41" s="72"/>
      <c r="U41" s="72"/>
      <c r="V41" s="76"/>
      <c r="W41" s="74"/>
      <c r="X41" s="17"/>
    </row>
    <row r="42" spans="1:24" ht="15.75" thickBot="1"/>
    <row r="43" spans="1:24" s="18" customFormat="1" thickBot="1">
      <c r="A43" s="138" t="s">
        <v>41</v>
      </c>
      <c r="B43" s="139"/>
      <c r="C43" s="71"/>
      <c r="D43" s="71"/>
      <c r="E43" s="71"/>
      <c r="F43" s="71"/>
      <c r="G43" s="71"/>
      <c r="H43" s="71"/>
      <c r="I43" s="72"/>
      <c r="J43" s="72"/>
      <c r="K43" s="66"/>
      <c r="L43" s="66"/>
      <c r="M43" s="66"/>
      <c r="N43" s="66"/>
      <c r="O43" s="66"/>
      <c r="P43" s="66"/>
      <c r="Q43" s="66"/>
      <c r="R43" s="66"/>
      <c r="S43" s="66"/>
      <c r="T43" s="66"/>
      <c r="U43" s="66"/>
      <c r="V43" s="73"/>
      <c r="W43" s="74"/>
      <c r="X43" s="17"/>
    </row>
    <row r="44" spans="1:24" s="18" customFormat="1" thickBot="1">
      <c r="A44" s="93" t="s">
        <v>10</v>
      </c>
      <c r="B44" s="94">
        <v>8.5000000000000006E-2</v>
      </c>
      <c r="C44" s="71"/>
      <c r="D44" s="71"/>
      <c r="E44" s="71"/>
      <c r="F44" s="71"/>
      <c r="G44" s="71"/>
      <c r="H44" s="71"/>
      <c r="I44" s="72"/>
      <c r="J44" s="72"/>
      <c r="K44" s="72"/>
      <c r="L44" s="72"/>
      <c r="M44" s="72"/>
      <c r="N44" s="72"/>
      <c r="O44" s="72"/>
      <c r="P44" s="72"/>
      <c r="Q44" s="72"/>
      <c r="R44" s="72"/>
      <c r="S44" s="72"/>
      <c r="T44" s="72"/>
      <c r="U44" s="72"/>
      <c r="V44" s="76"/>
      <c r="W44" s="74"/>
      <c r="X44" s="17"/>
    </row>
    <row r="45" spans="1:24" s="18" customFormat="1" thickBot="1">
      <c r="A45" s="140" t="s">
        <v>23</v>
      </c>
      <c r="B45" s="141"/>
      <c r="C45" s="72"/>
      <c r="D45" s="72"/>
      <c r="E45" s="72"/>
      <c r="F45" s="72"/>
      <c r="G45" s="72"/>
      <c r="H45" s="72"/>
      <c r="I45" s="72"/>
      <c r="J45" s="72"/>
      <c r="K45" s="72"/>
      <c r="L45" s="72"/>
      <c r="M45" s="72"/>
      <c r="N45" s="72"/>
      <c r="O45" s="72"/>
      <c r="P45" s="72"/>
      <c r="Q45" s="72"/>
      <c r="R45" s="72"/>
      <c r="S45" s="72"/>
      <c r="T45" s="72"/>
      <c r="U45" s="72"/>
      <c r="V45" s="76"/>
      <c r="W45" s="74"/>
      <c r="X45" s="17"/>
    </row>
    <row r="46" spans="1:24" s="18" customFormat="1" thickBot="1">
      <c r="A46" s="13" t="s">
        <v>7</v>
      </c>
      <c r="B46" s="95">
        <v>448686.05764284742</v>
      </c>
      <c r="C46" s="80" t="s">
        <v>1</v>
      </c>
      <c r="D46" s="80"/>
      <c r="E46" s="80"/>
      <c r="F46" s="80"/>
      <c r="G46" s="80"/>
      <c r="H46" s="80"/>
      <c r="I46" s="80"/>
      <c r="J46" s="80"/>
      <c r="K46" s="72"/>
      <c r="L46" s="72"/>
      <c r="M46" s="72"/>
      <c r="N46" s="72"/>
      <c r="O46" s="72"/>
      <c r="P46" s="72"/>
      <c r="Q46" s="72"/>
      <c r="R46" s="72"/>
      <c r="S46" s="72"/>
      <c r="T46" s="72"/>
      <c r="U46" s="72"/>
      <c r="V46" s="76"/>
      <c r="W46" s="74"/>
      <c r="X46" s="17"/>
    </row>
    <row r="47" spans="1:24" s="18" customFormat="1" thickBot="1">
      <c r="A47" s="51" t="s">
        <v>8</v>
      </c>
      <c r="B47" s="96">
        <v>0.10890610584677651</v>
      </c>
      <c r="C47" s="82" t="s">
        <v>24</v>
      </c>
      <c r="D47" s="82"/>
      <c r="E47" s="82"/>
      <c r="F47" s="82"/>
      <c r="G47" s="82"/>
      <c r="H47" s="82"/>
      <c r="I47" s="82"/>
      <c r="J47" s="82"/>
      <c r="K47" s="72"/>
      <c r="L47" s="72"/>
      <c r="M47" s="72"/>
      <c r="N47" s="72"/>
      <c r="O47" s="72"/>
      <c r="P47" s="72"/>
      <c r="Q47" s="72"/>
      <c r="R47" s="72"/>
      <c r="S47" s="72"/>
      <c r="T47" s="72"/>
      <c r="U47" s="72"/>
      <c r="V47" s="76"/>
      <c r="W47" s="74"/>
      <c r="X47" s="17"/>
    </row>
    <row r="48" spans="1:24" s="18" customFormat="1" thickBot="1">
      <c r="A48" s="83" t="s">
        <v>9</v>
      </c>
      <c r="B48" s="97">
        <v>9.4914130664674801E-2</v>
      </c>
      <c r="C48" s="80" t="s">
        <v>24</v>
      </c>
      <c r="D48" s="80"/>
      <c r="E48" s="80"/>
      <c r="F48" s="80"/>
      <c r="G48" s="80"/>
      <c r="H48" s="80"/>
      <c r="I48" s="80"/>
      <c r="J48" s="80"/>
      <c r="K48" s="72"/>
      <c r="L48" s="72"/>
      <c r="M48" s="72"/>
      <c r="N48" s="72"/>
      <c r="O48" s="72"/>
      <c r="P48" s="72"/>
      <c r="Q48" s="72"/>
      <c r="R48" s="72"/>
      <c r="S48" s="72"/>
      <c r="T48" s="72"/>
      <c r="U48" s="72"/>
      <c r="V48" s="76"/>
      <c r="W48" s="74"/>
      <c r="X48" s="17"/>
    </row>
    <row r="50" spans="1:24" s="102" customFormat="1" ht="13.5" thickBot="1">
      <c r="B50" s="103" t="s">
        <v>26</v>
      </c>
      <c r="C50" s="104"/>
      <c r="D50" s="104"/>
      <c r="E50" s="104"/>
      <c r="F50" s="104"/>
      <c r="G50" s="104"/>
      <c r="H50" s="104"/>
      <c r="I50" s="104"/>
      <c r="J50" s="104"/>
      <c r="K50" s="104"/>
      <c r="L50" s="104"/>
      <c r="M50" s="104"/>
      <c r="N50" s="104"/>
      <c r="O50" s="104"/>
      <c r="P50" s="104"/>
      <c r="Q50" s="104"/>
      <c r="R50" s="104"/>
      <c r="S50" s="104"/>
      <c r="T50" s="104"/>
      <c r="U50" s="104"/>
      <c r="V50" s="105"/>
      <c r="W50" s="106"/>
      <c r="X50" s="107"/>
    </row>
    <row r="51" spans="1:24" s="102" customFormat="1" ht="12.75">
      <c r="B51" s="108" t="s">
        <v>27</v>
      </c>
      <c r="C51" s="109">
        <v>0</v>
      </c>
      <c r="D51" s="110">
        <v>1</v>
      </c>
      <c r="E51" s="110">
        <v>2</v>
      </c>
      <c r="F51" s="110">
        <v>3</v>
      </c>
      <c r="G51" s="110">
        <v>4</v>
      </c>
      <c r="H51" s="110">
        <v>5</v>
      </c>
      <c r="I51" s="110">
        <v>6</v>
      </c>
      <c r="J51" s="110">
        <v>7</v>
      </c>
      <c r="K51" s="110">
        <v>8</v>
      </c>
      <c r="L51" s="110">
        <v>9</v>
      </c>
      <c r="M51" s="110">
        <v>10</v>
      </c>
      <c r="N51" s="110">
        <v>11</v>
      </c>
      <c r="O51" s="110">
        <v>12</v>
      </c>
      <c r="P51" s="110">
        <v>13</v>
      </c>
      <c r="Q51" s="110">
        <v>14</v>
      </c>
      <c r="R51" s="110">
        <v>15</v>
      </c>
      <c r="S51" s="110">
        <v>16</v>
      </c>
      <c r="T51" s="110">
        <v>17</v>
      </c>
      <c r="U51" s="110">
        <v>18</v>
      </c>
      <c r="V51" s="110">
        <v>19</v>
      </c>
      <c r="W51" s="111">
        <v>20</v>
      </c>
      <c r="X51" s="107"/>
    </row>
    <row r="52" spans="1:24" s="102" customFormat="1" ht="12.75">
      <c r="B52" s="108" t="s">
        <v>28</v>
      </c>
      <c r="C52" s="112">
        <v>-3460551.029541316</v>
      </c>
      <c r="D52" s="113"/>
      <c r="E52" s="113"/>
      <c r="F52" s="113"/>
      <c r="G52" s="113"/>
      <c r="H52" s="113"/>
      <c r="I52" s="113"/>
      <c r="J52" s="113"/>
      <c r="K52" s="113"/>
      <c r="L52" s="113"/>
      <c r="M52" s="113"/>
      <c r="N52" s="113"/>
      <c r="O52" s="113"/>
      <c r="P52" s="113"/>
      <c r="Q52" s="113"/>
      <c r="R52" s="113"/>
      <c r="S52" s="113"/>
      <c r="T52" s="113"/>
      <c r="U52" s="113"/>
      <c r="V52" s="113"/>
      <c r="W52" s="114"/>
      <c r="X52" s="107"/>
    </row>
    <row r="53" spans="1:24" s="102" customFormat="1" ht="12.75">
      <c r="B53" s="108" t="s">
        <v>29</v>
      </c>
      <c r="D53" s="115">
        <v>-13127.696041241499</v>
      </c>
      <c r="E53" s="115">
        <v>-40283.277246079408</v>
      </c>
      <c r="F53" s="115">
        <v>51807.849841827992</v>
      </c>
      <c r="G53" s="115">
        <v>415526.24999999953</v>
      </c>
      <c r="H53" s="115">
        <v>415526.24999999953</v>
      </c>
      <c r="I53" s="115">
        <v>415526.24999999953</v>
      </c>
      <c r="J53" s="115">
        <v>415526.24999999953</v>
      </c>
      <c r="K53" s="115">
        <v>1568099.9999999981</v>
      </c>
      <c r="L53" s="115">
        <v>1568099.9999999981</v>
      </c>
      <c r="M53" s="115">
        <v>1568099.9999999981</v>
      </c>
      <c r="N53" s="115">
        <v>1568099.9999999981</v>
      </c>
      <c r="O53" s="115">
        <v>1568099.9999999981</v>
      </c>
      <c r="P53" s="115">
        <v>1568099.9999999981</v>
      </c>
      <c r="Q53" s="115">
        <v>1568099.9999999981</v>
      </c>
      <c r="R53" s="115">
        <v>1568099.9999999981</v>
      </c>
      <c r="S53" s="115">
        <v>1568099.9999999981</v>
      </c>
      <c r="T53" s="115">
        <v>1568099.9999999981</v>
      </c>
      <c r="U53" s="115">
        <v>1568099.9999999981</v>
      </c>
      <c r="V53" s="115">
        <v>1568099.9999999981</v>
      </c>
      <c r="W53" s="115">
        <v>1568099.9999999981</v>
      </c>
      <c r="X53" s="107"/>
    </row>
    <row r="54" spans="1:24" s="102" customFormat="1" ht="13.5" thickBot="1">
      <c r="B54" s="108" t="s">
        <v>30</v>
      </c>
      <c r="C54" s="117">
        <v>-3460551.029541316</v>
      </c>
      <c r="D54" s="118">
        <v>-3473678.7255825573</v>
      </c>
      <c r="E54" s="118">
        <v>-3513962.0028286367</v>
      </c>
      <c r="F54" s="118">
        <v>-3462154.1529868087</v>
      </c>
      <c r="G54" s="118">
        <v>-3046627.9029868091</v>
      </c>
      <c r="H54" s="118">
        <v>-2631101.6529868096</v>
      </c>
      <c r="I54" s="118">
        <v>-2215575.4029868101</v>
      </c>
      <c r="J54" s="118">
        <v>-1800049.1529868105</v>
      </c>
      <c r="K54" s="118">
        <v>-231949.15298681241</v>
      </c>
      <c r="L54" s="118">
        <v>1336150.8470131857</v>
      </c>
      <c r="M54" s="118">
        <v>2904250.8470131839</v>
      </c>
      <c r="N54" s="118">
        <v>4472350.847013182</v>
      </c>
      <c r="O54" s="118">
        <v>6040450.8470131801</v>
      </c>
      <c r="P54" s="118">
        <v>7608550.8470131783</v>
      </c>
      <c r="Q54" s="118">
        <v>9176650.8470131755</v>
      </c>
      <c r="R54" s="118">
        <v>10744750.847013174</v>
      </c>
      <c r="S54" s="118">
        <v>12312850.847013172</v>
      </c>
      <c r="T54" s="118">
        <v>13880950.84701317</v>
      </c>
      <c r="U54" s="118">
        <v>15449050.847013168</v>
      </c>
      <c r="V54" s="118">
        <v>17017150.847013168</v>
      </c>
      <c r="W54" s="119">
        <v>18585250.847013168</v>
      </c>
      <c r="X54" s="107"/>
    </row>
    <row r="55" spans="1:24" s="128" customFormat="1" ht="14.25">
      <c r="A55" s="120"/>
      <c r="B55" s="121"/>
      <c r="C55" s="122"/>
      <c r="D55" s="123"/>
      <c r="E55" s="124"/>
      <c r="F55" s="124"/>
      <c r="G55" s="124"/>
      <c r="H55" s="124"/>
      <c r="I55" s="124"/>
      <c r="J55" s="124"/>
      <c r="K55" s="124"/>
      <c r="L55" s="124"/>
      <c r="M55" s="124"/>
      <c r="N55" s="124"/>
      <c r="O55" s="124"/>
      <c r="P55" s="124"/>
      <c r="Q55" s="124"/>
      <c r="R55" s="124"/>
      <c r="S55" s="124"/>
      <c r="T55" s="124"/>
      <c r="U55" s="124"/>
      <c r="V55" s="125"/>
      <c r="W55" s="126"/>
      <c r="X55" s="127"/>
    </row>
    <row r="56" spans="1:24" s="128" customFormat="1" thickBot="1">
      <c r="B56" s="129" t="s">
        <v>31</v>
      </c>
      <c r="C56" s="130">
        <v>11.331974581598185</v>
      </c>
      <c r="D56" s="127"/>
      <c r="V56" s="121"/>
      <c r="W56" s="126"/>
      <c r="X56" s="127"/>
    </row>
    <row r="57" spans="1:24" ht="15.75" thickBot="1"/>
    <row r="58" spans="1:24" s="102" customFormat="1" ht="12.75">
      <c r="A58" s="106"/>
      <c r="B58" s="143" t="s">
        <v>89</v>
      </c>
      <c r="C58" s="366"/>
      <c r="D58" s="367"/>
      <c r="E58" s="367"/>
      <c r="F58" s="367"/>
      <c r="G58" s="367"/>
      <c r="H58" s="367"/>
      <c r="I58" s="368"/>
      <c r="J58" s="368"/>
      <c r="K58" s="368"/>
      <c r="L58" s="368"/>
      <c r="M58" s="368"/>
      <c r="N58" s="368"/>
      <c r="O58" s="368"/>
      <c r="P58" s="368"/>
      <c r="Q58" s="368"/>
      <c r="R58" s="368"/>
      <c r="S58" s="368"/>
      <c r="T58" s="368"/>
      <c r="U58" s="368"/>
      <c r="V58" s="369"/>
      <c r="W58" s="370"/>
      <c r="X58" s="107"/>
    </row>
    <row r="59" spans="1:24" s="102" customFormat="1" ht="12.75">
      <c r="A59" s="106"/>
      <c r="B59" s="143" t="s">
        <v>90</v>
      </c>
      <c r="C59" s="371">
        <v>-13127.696041241499</v>
      </c>
      <c r="D59" s="371">
        <v>-40283.277246079408</v>
      </c>
      <c r="E59" s="371">
        <v>51807.849841827992</v>
      </c>
      <c r="F59" s="371">
        <v>415526.24999999953</v>
      </c>
      <c r="G59" s="371">
        <v>415526.24999999953</v>
      </c>
      <c r="H59" s="371">
        <v>415526.24999999953</v>
      </c>
      <c r="I59" s="372"/>
      <c r="J59" s="373"/>
      <c r="K59" s="373"/>
      <c r="L59" s="373"/>
      <c r="M59" s="373"/>
      <c r="N59" s="373"/>
      <c r="O59" s="373"/>
      <c r="P59" s="373"/>
      <c r="Q59" s="373"/>
      <c r="R59" s="373"/>
      <c r="S59" s="373"/>
      <c r="T59" s="373"/>
      <c r="U59" s="373"/>
      <c r="V59" s="373"/>
      <c r="W59" s="374"/>
      <c r="X59" s="107"/>
    </row>
    <row r="60" spans="1:24" s="102" customFormat="1" ht="12.75">
      <c r="A60" s="106"/>
      <c r="B60" s="143" t="s">
        <v>91</v>
      </c>
      <c r="C60" s="375">
        <v>102462.22752479999</v>
      </c>
      <c r="D60" s="371">
        <v>933225.96829587861</v>
      </c>
      <c r="E60" s="371">
        <v>1469105.0576462231</v>
      </c>
      <c r="F60" s="371">
        <v>955757.77607441426</v>
      </c>
      <c r="G60" s="371">
        <v>0</v>
      </c>
      <c r="H60" s="371">
        <v>0</v>
      </c>
      <c r="I60" s="372"/>
      <c r="V60" s="150"/>
      <c r="W60" s="376"/>
      <c r="X60" s="107"/>
    </row>
    <row r="61" spans="1:24" s="102" customFormat="1" ht="12.75">
      <c r="A61" s="106"/>
      <c r="B61" s="143" t="s">
        <v>92</v>
      </c>
      <c r="C61" s="379">
        <v>-1115.8541635055276</v>
      </c>
      <c r="D61" s="380">
        <v>-3424.07856591675</v>
      </c>
      <c r="E61" s="380">
        <v>4403.6672365553795</v>
      </c>
      <c r="F61" s="380">
        <v>35319.731249999961</v>
      </c>
      <c r="G61" s="380">
        <v>35319.731249999961</v>
      </c>
      <c r="H61" s="380">
        <v>35319.731249999961</v>
      </c>
      <c r="W61" s="378"/>
      <c r="X61" s="107"/>
    </row>
    <row r="62" spans="1:24" s="102" customFormat="1" ht="12.75">
      <c r="A62" s="106"/>
      <c r="B62" s="143" t="s">
        <v>93</v>
      </c>
      <c r="C62" s="379">
        <v>101346.37336129446</v>
      </c>
      <c r="D62" s="373">
        <v>929801.88972996187</v>
      </c>
      <c r="E62" s="373">
        <v>1473508.7248827785</v>
      </c>
      <c r="F62" s="373">
        <v>991077.50732441421</v>
      </c>
      <c r="G62" s="373">
        <v>35319.731249999961</v>
      </c>
      <c r="H62" s="373">
        <v>35319.731249999961</v>
      </c>
      <c r="V62" s="150"/>
      <c r="W62" s="376"/>
      <c r="X62" s="107"/>
    </row>
    <row r="63" spans="1:24" s="102" customFormat="1" ht="12.75">
      <c r="A63" s="106"/>
      <c r="B63" s="381" t="s">
        <v>89</v>
      </c>
      <c r="C63" s="382">
        <v>-0.12953296310309947</v>
      </c>
      <c r="D63" s="383">
        <v>-4.3324580957539993E-2</v>
      </c>
      <c r="E63" s="383">
        <v>3.5159513457207012E-2</v>
      </c>
      <c r="F63" s="383">
        <v>0.41926715814768595</v>
      </c>
      <c r="G63" s="383">
        <v>11.76470588235294</v>
      </c>
      <c r="H63" s="383">
        <v>11.76470588235294</v>
      </c>
      <c r="I63" s="384">
        <v>11.76470588235294</v>
      </c>
      <c r="J63" s="384">
        <v>11.76470588235294</v>
      </c>
      <c r="K63" s="384">
        <v>11.76470588235294</v>
      </c>
      <c r="L63" s="384">
        <v>11.76470588235294</v>
      </c>
      <c r="M63" s="384">
        <v>11.76470588235294</v>
      </c>
      <c r="N63" s="384">
        <v>11.76470588235294</v>
      </c>
      <c r="O63" s="384">
        <v>11.76470588235294</v>
      </c>
      <c r="P63" s="384">
        <v>11.76470588235294</v>
      </c>
      <c r="Q63" s="384">
        <v>11.76470588235294</v>
      </c>
      <c r="R63" s="384">
        <v>11.76470588235294</v>
      </c>
      <c r="S63" s="384">
        <v>11.76470588235294</v>
      </c>
      <c r="T63" s="384">
        <v>11.76470588235294</v>
      </c>
      <c r="U63" s="384">
        <v>11.76470588235294</v>
      </c>
      <c r="V63" s="384">
        <v>11.76470588235294</v>
      </c>
      <c r="W63" s="385">
        <v>11.76470588235294</v>
      </c>
      <c r="X63" s="107"/>
    </row>
    <row r="64" spans="1:24">
      <c r="A64" s="106"/>
      <c r="B64" s="106"/>
      <c r="C64" s="386"/>
      <c r="D64" s="102"/>
      <c r="E64" s="102"/>
      <c r="F64" s="102"/>
      <c r="G64" s="102"/>
      <c r="H64" s="102"/>
      <c r="I64" s="102"/>
      <c r="J64" s="102"/>
      <c r="K64" s="102"/>
      <c r="L64" s="102"/>
      <c r="M64" s="102"/>
      <c r="N64" s="102"/>
      <c r="O64" s="102"/>
      <c r="P64" s="102"/>
      <c r="Q64" s="102"/>
      <c r="R64" s="102"/>
      <c r="S64" s="102"/>
      <c r="T64" s="102"/>
      <c r="U64" s="102"/>
      <c r="V64" s="150"/>
      <c r="W64" s="376"/>
    </row>
    <row r="65" spans="1:23" ht="15.75" thickBot="1">
      <c r="A65" s="106"/>
      <c r="B65" s="381" t="s">
        <v>94</v>
      </c>
      <c r="C65" s="387">
        <v>9.5372175775021031</v>
      </c>
      <c r="D65" s="388"/>
      <c r="E65" s="388"/>
      <c r="F65" s="388"/>
      <c r="G65" s="388"/>
      <c r="H65" s="388"/>
      <c r="I65" s="388"/>
      <c r="J65" s="388"/>
      <c r="K65" s="388"/>
      <c r="L65" s="388"/>
      <c r="M65" s="388"/>
      <c r="N65" s="388"/>
      <c r="O65" s="388"/>
      <c r="P65" s="388"/>
      <c r="Q65" s="388"/>
      <c r="R65" s="388"/>
      <c r="S65" s="388"/>
      <c r="T65" s="388"/>
      <c r="U65" s="388"/>
      <c r="V65" s="389"/>
      <c r="W65" s="390"/>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dimension ref="A1:X58"/>
  <sheetViews>
    <sheetView showGridLines="0" zoomScale="70" zoomScaleNormal="70" workbookViewId="0">
      <selection sqref="A1:XFD1048576"/>
    </sheetView>
  </sheetViews>
  <sheetFormatPr defaultColWidth="9" defaultRowHeight="15"/>
  <cols>
    <col min="1" max="1" width="76.140625" style="98" customWidth="1"/>
    <col min="2" max="2" width="13.5703125" style="98" customWidth="1"/>
    <col min="3" max="4" width="16.7109375" style="98" bestFit="1" customWidth="1"/>
    <col min="5" max="6" width="15.85546875" style="98" bestFit="1" customWidth="1"/>
    <col min="7" max="7" width="15.85546875" style="98" customWidth="1"/>
    <col min="8" max="20" width="17.28515625" style="98" customWidth="1"/>
    <col min="21" max="21" width="18.85546875" style="98" customWidth="1"/>
    <col min="22" max="22" width="18.85546875" style="99" customWidth="1"/>
    <col min="23" max="23" width="18.85546875" style="100" customWidth="1"/>
    <col min="24" max="24" width="9" style="101"/>
    <col min="25" max="16384" width="9" style="98"/>
  </cols>
  <sheetData>
    <row r="1" spans="1:24" s="18" customFormat="1" ht="15.75" thickBot="1">
      <c r="A1" s="131" t="s">
        <v>32</v>
      </c>
      <c r="B1" s="132"/>
      <c r="C1" s="132"/>
      <c r="D1" s="132"/>
      <c r="E1" s="132"/>
      <c r="F1" s="132"/>
      <c r="G1" s="132"/>
      <c r="H1" s="132"/>
      <c r="I1" s="132"/>
      <c r="J1" s="132"/>
      <c r="K1" s="132"/>
      <c r="L1" s="132"/>
      <c r="M1" s="132"/>
      <c r="N1" s="132"/>
      <c r="O1" s="132"/>
      <c r="P1" s="132"/>
      <c r="Q1" s="132"/>
      <c r="R1" s="132"/>
      <c r="S1" s="132"/>
      <c r="T1" s="132"/>
      <c r="U1" s="132"/>
      <c r="V1" s="132"/>
      <c r="W1" s="133"/>
      <c r="X1" s="17"/>
    </row>
    <row r="2" spans="1:24" s="18" customFormat="1" ht="14.25">
      <c r="A2" s="19"/>
      <c r="B2" s="20" t="s">
        <v>12</v>
      </c>
      <c r="C2" s="20"/>
      <c r="D2" s="20"/>
      <c r="E2" s="20"/>
      <c r="F2" s="20"/>
      <c r="G2" s="20"/>
      <c r="H2" s="20"/>
      <c r="I2" s="20"/>
      <c r="J2" s="20"/>
      <c r="K2" s="20"/>
      <c r="L2" s="20"/>
      <c r="M2" s="20"/>
      <c r="N2" s="20"/>
      <c r="O2" s="20"/>
      <c r="P2" s="20"/>
      <c r="Q2" s="20"/>
      <c r="R2" s="20"/>
      <c r="S2" s="20"/>
      <c r="T2" s="20"/>
      <c r="U2" s="20"/>
      <c r="V2" s="21"/>
      <c r="W2" s="22"/>
      <c r="X2" s="17"/>
    </row>
    <row r="3" spans="1:24" s="18" customFormat="1" ht="14.25">
      <c r="A3" s="23"/>
      <c r="B3" s="24"/>
      <c r="C3" s="25">
        <v>2023</v>
      </c>
      <c r="D3" s="25">
        <v>2024</v>
      </c>
      <c r="E3" s="25">
        <v>2025</v>
      </c>
      <c r="F3" s="25">
        <v>2026</v>
      </c>
      <c r="G3" s="25">
        <v>2027</v>
      </c>
      <c r="H3" s="25">
        <v>2028</v>
      </c>
      <c r="I3" s="25">
        <v>2029</v>
      </c>
      <c r="J3" s="25">
        <v>2030</v>
      </c>
      <c r="K3" s="25">
        <v>2031</v>
      </c>
      <c r="L3" s="25">
        <v>2032</v>
      </c>
      <c r="M3" s="25">
        <v>2033</v>
      </c>
      <c r="N3" s="25">
        <v>2034</v>
      </c>
      <c r="O3" s="25">
        <v>2035</v>
      </c>
      <c r="P3" s="25">
        <v>2036</v>
      </c>
      <c r="Q3" s="25">
        <v>2037</v>
      </c>
      <c r="R3" s="25">
        <v>2038</v>
      </c>
      <c r="S3" s="25">
        <v>2039</v>
      </c>
      <c r="T3" s="25">
        <v>2040</v>
      </c>
      <c r="U3" s="25">
        <v>2041</v>
      </c>
      <c r="V3" s="26">
        <v>2042</v>
      </c>
      <c r="W3" s="27"/>
      <c r="X3" s="17"/>
    </row>
    <row r="4" spans="1:24" s="18" customFormat="1" ht="14.25">
      <c r="A4" s="28" t="s">
        <v>48</v>
      </c>
      <c r="B4" s="29"/>
      <c r="C4" s="30"/>
      <c r="D4" s="30"/>
      <c r="E4" s="30"/>
      <c r="F4" s="30"/>
      <c r="G4" s="30"/>
      <c r="H4" s="30"/>
      <c r="I4" s="30"/>
      <c r="J4" s="31"/>
      <c r="K4" s="32"/>
      <c r="L4" s="32"/>
      <c r="M4" s="32"/>
      <c r="N4" s="32"/>
      <c r="O4" s="32"/>
      <c r="P4" s="32"/>
      <c r="Q4" s="32"/>
      <c r="R4" s="32"/>
      <c r="S4" s="32"/>
      <c r="T4" s="32"/>
      <c r="U4" s="32"/>
      <c r="V4" s="33"/>
      <c r="W4" s="34"/>
      <c r="X4" s="17"/>
    </row>
    <row r="5" spans="1:24" s="18" customFormat="1" ht="14.25">
      <c r="A5" s="28" t="s">
        <v>13</v>
      </c>
      <c r="B5" s="35" t="s">
        <v>1</v>
      </c>
      <c r="C5" s="36">
        <v>1135730.886956522</v>
      </c>
      <c r="D5" s="36">
        <v>4107962.7826086958</v>
      </c>
      <c r="E5" s="36">
        <v>6161944.1739130439</v>
      </c>
      <c r="F5" s="36">
        <v>11888927.582608696</v>
      </c>
      <c r="G5" s="36">
        <v>14861159.478260871</v>
      </c>
      <c r="H5" s="36">
        <v>14861159.478260871</v>
      </c>
      <c r="I5" s="36">
        <v>14861159.478260871</v>
      </c>
      <c r="J5" s="36">
        <v>14861159.478260871</v>
      </c>
      <c r="K5" s="36">
        <v>14861159.478260871</v>
      </c>
      <c r="L5" s="36">
        <v>14861159.478260871</v>
      </c>
      <c r="M5" s="36">
        <v>14861159.478260871</v>
      </c>
      <c r="N5" s="36">
        <v>14861159.478260871</v>
      </c>
      <c r="O5" s="36">
        <v>14861159.478260871</v>
      </c>
      <c r="P5" s="36">
        <v>14861159.478260871</v>
      </c>
      <c r="Q5" s="36">
        <v>14861159.478260871</v>
      </c>
      <c r="R5" s="36">
        <v>14861159.478260871</v>
      </c>
      <c r="S5" s="36">
        <v>14861159.478260871</v>
      </c>
      <c r="T5" s="36">
        <v>14861159.478260871</v>
      </c>
      <c r="U5" s="36">
        <v>14861159.478260871</v>
      </c>
      <c r="V5" s="37">
        <v>14861159.478260871</v>
      </c>
      <c r="W5" s="5"/>
      <c r="X5" s="17"/>
    </row>
    <row r="6" spans="1:24" s="18" customFormat="1" ht="14.25">
      <c r="A6" s="38" t="s">
        <v>14</v>
      </c>
      <c r="B6" s="35" t="s">
        <v>1</v>
      </c>
      <c r="C6" s="36">
        <v>254988.44615384619</v>
      </c>
      <c r="D6" s="36">
        <v>800083.50769230782</v>
      </c>
      <c r="E6" s="36">
        <v>3375924.8769230773</v>
      </c>
      <c r="F6" s="36">
        <v>5661659.6307692314</v>
      </c>
      <c r="G6" s="36">
        <v>7077074.538461539</v>
      </c>
      <c r="H6" s="36">
        <v>7077074.538461539</v>
      </c>
      <c r="I6" s="36">
        <v>7077074.538461539</v>
      </c>
      <c r="J6" s="36">
        <v>7077074.538461539</v>
      </c>
      <c r="K6" s="36">
        <v>7077074.538461539</v>
      </c>
      <c r="L6" s="36">
        <v>7077074.538461539</v>
      </c>
      <c r="M6" s="36">
        <v>7077074.538461539</v>
      </c>
      <c r="N6" s="36">
        <v>7077074.538461539</v>
      </c>
      <c r="O6" s="36">
        <v>7077074.538461539</v>
      </c>
      <c r="P6" s="36">
        <v>7077074.538461539</v>
      </c>
      <c r="Q6" s="36">
        <v>7077074.538461539</v>
      </c>
      <c r="R6" s="36">
        <v>7077074.538461539</v>
      </c>
      <c r="S6" s="36">
        <v>7077074.538461539</v>
      </c>
      <c r="T6" s="36">
        <v>7077074.538461539</v>
      </c>
      <c r="U6" s="36">
        <v>7077074.538461539</v>
      </c>
      <c r="V6" s="37">
        <v>7077074.538461539</v>
      </c>
      <c r="W6" s="5"/>
      <c r="X6" s="17"/>
    </row>
    <row r="7" spans="1:24" s="18" customFormat="1" ht="14.25">
      <c r="A7" s="38" t="s">
        <v>15</v>
      </c>
      <c r="B7" s="35" t="s">
        <v>1</v>
      </c>
      <c r="C7" s="36">
        <v>404205.96363636362</v>
      </c>
      <c r="D7" s="36">
        <v>1905542.4000000001</v>
      </c>
      <c r="E7" s="36">
        <v>3681161.4545454551</v>
      </c>
      <c r="F7" s="36">
        <v>8199606.6909090914</v>
      </c>
      <c r="G7" s="36">
        <v>10249508.363636363</v>
      </c>
      <c r="H7" s="36">
        <v>10249508.363636363</v>
      </c>
      <c r="I7" s="36">
        <v>10249508.363636363</v>
      </c>
      <c r="J7" s="36">
        <v>10249508.363636363</v>
      </c>
      <c r="K7" s="36">
        <v>10249508.363636363</v>
      </c>
      <c r="L7" s="36">
        <v>10249508.363636363</v>
      </c>
      <c r="M7" s="36">
        <v>10249508.363636363</v>
      </c>
      <c r="N7" s="36">
        <v>10249508.363636363</v>
      </c>
      <c r="O7" s="36">
        <v>10249508.363636363</v>
      </c>
      <c r="P7" s="36">
        <v>10249508.363636363</v>
      </c>
      <c r="Q7" s="36">
        <v>10249508.363636363</v>
      </c>
      <c r="R7" s="36">
        <v>10249508.363636363</v>
      </c>
      <c r="S7" s="36">
        <v>10249508.363636363</v>
      </c>
      <c r="T7" s="36">
        <v>10249508.363636363</v>
      </c>
      <c r="U7" s="36">
        <v>10249508.363636363</v>
      </c>
      <c r="V7" s="37">
        <v>10249508.363636363</v>
      </c>
      <c r="W7" s="5"/>
      <c r="X7" s="17"/>
    </row>
    <row r="8" spans="1:24" s="18" customFormat="1" ht="14.25">
      <c r="A8" s="39" t="s">
        <v>16</v>
      </c>
      <c r="B8" s="40" t="s">
        <v>1</v>
      </c>
      <c r="C8" s="36">
        <v>293160.36923076923</v>
      </c>
      <c r="D8" s="36">
        <v>2907173.6615384617</v>
      </c>
      <c r="E8" s="36">
        <v>6101400.1846153857</v>
      </c>
      <c r="F8" s="36">
        <v>10456053.16923077</v>
      </c>
      <c r="G8" s="36">
        <v>13070066.461538462</v>
      </c>
      <c r="H8" s="36">
        <v>13070066.461538462</v>
      </c>
      <c r="I8" s="36">
        <v>13070066.461538462</v>
      </c>
      <c r="J8" s="36">
        <v>13070066.461538462</v>
      </c>
      <c r="K8" s="36">
        <v>13070066.461538462</v>
      </c>
      <c r="L8" s="36">
        <v>13070066.461538462</v>
      </c>
      <c r="M8" s="36">
        <v>13070066.461538462</v>
      </c>
      <c r="N8" s="36">
        <v>13070066.461538462</v>
      </c>
      <c r="O8" s="36">
        <v>13070066.461538462</v>
      </c>
      <c r="P8" s="36">
        <v>13070066.461538462</v>
      </c>
      <c r="Q8" s="36">
        <v>13070066.461538462</v>
      </c>
      <c r="R8" s="36">
        <v>13070066.461538462</v>
      </c>
      <c r="S8" s="36">
        <v>13070066.461538462</v>
      </c>
      <c r="T8" s="36">
        <v>13070066.461538462</v>
      </c>
      <c r="U8" s="36">
        <v>13070066.461538462</v>
      </c>
      <c r="V8" s="37">
        <v>13070066.461538462</v>
      </c>
      <c r="W8" s="5"/>
      <c r="X8" s="17"/>
    </row>
    <row r="9" spans="1:24" s="18" customFormat="1" ht="14.25">
      <c r="A9" s="39" t="s">
        <v>17</v>
      </c>
      <c r="B9" s="40" t="s">
        <v>1</v>
      </c>
      <c r="C9" s="36">
        <v>3104904.2230769233</v>
      </c>
      <c r="D9" s="36">
        <v>7332062.9846153837</v>
      </c>
      <c r="E9" s="36">
        <v>12681476.284615383</v>
      </c>
      <c r="F9" s="36">
        <v>21397653.200000003</v>
      </c>
      <c r="G9" s="36">
        <v>26747066.500000004</v>
      </c>
      <c r="H9" s="36">
        <v>26747066.500000004</v>
      </c>
      <c r="I9" s="36">
        <v>26747066.500000004</v>
      </c>
      <c r="J9" s="36">
        <v>26747066.500000004</v>
      </c>
      <c r="K9" s="36">
        <v>26747066.500000004</v>
      </c>
      <c r="L9" s="36">
        <v>26747066.500000004</v>
      </c>
      <c r="M9" s="36">
        <v>26747066.500000004</v>
      </c>
      <c r="N9" s="36">
        <v>26747066.500000004</v>
      </c>
      <c r="O9" s="36">
        <v>26747066.500000004</v>
      </c>
      <c r="P9" s="36">
        <v>26747066.500000004</v>
      </c>
      <c r="Q9" s="36">
        <v>26747066.500000004</v>
      </c>
      <c r="R9" s="36">
        <v>26747066.500000004</v>
      </c>
      <c r="S9" s="36">
        <v>26747066.500000004</v>
      </c>
      <c r="T9" s="36">
        <v>26747066.500000004</v>
      </c>
      <c r="U9" s="36">
        <v>26747066.500000004</v>
      </c>
      <c r="V9" s="37">
        <v>26747066.500000004</v>
      </c>
      <c r="W9" s="5"/>
      <c r="X9" s="17"/>
    </row>
    <row r="10" spans="1:24" s="18" customFormat="1" ht="14.25">
      <c r="A10" s="151" t="s">
        <v>47</v>
      </c>
      <c r="B10" s="54" t="s">
        <v>1</v>
      </c>
      <c r="C10" s="36">
        <v>120499.6875</v>
      </c>
      <c r="D10" s="36">
        <v>240999.375</v>
      </c>
      <c r="E10" s="36">
        <v>361499.0625</v>
      </c>
      <c r="F10" s="36">
        <v>481998.75</v>
      </c>
      <c r="G10" s="36">
        <v>602498.4375</v>
      </c>
      <c r="H10" s="36">
        <v>602498.4375</v>
      </c>
      <c r="I10" s="36">
        <v>602498.4375</v>
      </c>
      <c r="J10" s="36">
        <v>602498.4375</v>
      </c>
      <c r="K10" s="36">
        <v>602498.4375</v>
      </c>
      <c r="L10" s="36">
        <v>602498.4375</v>
      </c>
      <c r="M10" s="36">
        <v>602498.4375</v>
      </c>
      <c r="N10" s="36">
        <v>602498.4375</v>
      </c>
      <c r="O10" s="36">
        <v>602498.4375</v>
      </c>
      <c r="P10" s="36">
        <v>602498.4375</v>
      </c>
      <c r="Q10" s="36">
        <v>602498.4375</v>
      </c>
      <c r="R10" s="36">
        <v>602498.4375</v>
      </c>
      <c r="S10" s="36">
        <v>602498.4375</v>
      </c>
      <c r="T10" s="36">
        <v>602498.4375</v>
      </c>
      <c r="U10" s="36">
        <v>602498.4375</v>
      </c>
      <c r="V10" s="37">
        <v>602498.4375</v>
      </c>
      <c r="W10" s="5"/>
      <c r="X10" s="17"/>
    </row>
    <row r="11" spans="1:24" s="48" customFormat="1" ht="14.25">
      <c r="A11" s="53" t="s">
        <v>19</v>
      </c>
      <c r="B11" s="144" t="s">
        <v>1</v>
      </c>
      <c r="C11" s="45">
        <v>5313489.5765544241</v>
      </c>
      <c r="D11" s="45">
        <v>17293824.71145485</v>
      </c>
      <c r="E11" s="45">
        <v>32363406.037112344</v>
      </c>
      <c r="F11" s="45">
        <v>58085899.023517787</v>
      </c>
      <c r="G11" s="45">
        <v>72607373.779397234</v>
      </c>
      <c r="H11" s="45">
        <v>72607373.779397234</v>
      </c>
      <c r="I11" s="45">
        <v>72607373.779397234</v>
      </c>
      <c r="J11" s="45">
        <v>72607373.779397234</v>
      </c>
      <c r="K11" s="45">
        <v>72607373.779397234</v>
      </c>
      <c r="L11" s="45">
        <v>72607373.779397234</v>
      </c>
      <c r="M11" s="45">
        <v>72607373.779397234</v>
      </c>
      <c r="N11" s="45">
        <v>72607373.779397234</v>
      </c>
      <c r="O11" s="45">
        <v>72607373.779397234</v>
      </c>
      <c r="P11" s="45">
        <v>72607373.779397234</v>
      </c>
      <c r="Q11" s="45">
        <v>72607373.779397234</v>
      </c>
      <c r="R11" s="45">
        <v>72607373.779397234</v>
      </c>
      <c r="S11" s="45">
        <v>72607373.779397234</v>
      </c>
      <c r="T11" s="45">
        <v>72607373.779397234</v>
      </c>
      <c r="U11" s="45">
        <v>72607373.779397234</v>
      </c>
      <c r="V11" s="46">
        <v>72607373.779397234</v>
      </c>
      <c r="W11" s="14"/>
      <c r="X11" s="47"/>
    </row>
    <row r="12" spans="1:24" s="18" customFormat="1" ht="14.25">
      <c r="A12" s="49" t="s">
        <v>3</v>
      </c>
      <c r="B12" s="144"/>
      <c r="C12" s="36"/>
      <c r="D12" s="36"/>
      <c r="E12" s="36"/>
      <c r="F12" s="36"/>
      <c r="G12" s="36"/>
      <c r="H12" s="36"/>
      <c r="I12" s="36"/>
      <c r="J12" s="36"/>
      <c r="K12" s="36"/>
      <c r="L12" s="36"/>
      <c r="M12" s="36"/>
      <c r="N12" s="36"/>
      <c r="O12" s="36"/>
      <c r="P12" s="36"/>
      <c r="Q12" s="36"/>
      <c r="R12" s="36"/>
      <c r="S12" s="36"/>
      <c r="T12" s="36"/>
      <c r="U12" s="36"/>
      <c r="V12" s="37"/>
      <c r="W12" s="5"/>
      <c r="X12" s="17"/>
    </row>
    <row r="13" spans="1:24" s="18" customFormat="1" ht="14.25">
      <c r="A13" s="152" t="s">
        <v>35</v>
      </c>
      <c r="B13" s="35" t="s">
        <v>1</v>
      </c>
      <c r="C13" s="36">
        <v>1164319.1269542065</v>
      </c>
      <c r="D13" s="36">
        <v>1164319.1269542065</v>
      </c>
      <c r="E13" s="36">
        <v>1164319.1269542065</v>
      </c>
      <c r="F13" s="36">
        <v>1164319.1269542065</v>
      </c>
      <c r="G13" s="36">
        <v>1164319.1269542065</v>
      </c>
      <c r="H13" s="36"/>
      <c r="I13" s="36"/>
      <c r="J13" s="36"/>
      <c r="K13" s="36"/>
      <c r="L13" s="36"/>
      <c r="M13" s="36"/>
      <c r="N13" s="36"/>
      <c r="O13" s="36"/>
      <c r="P13" s="36"/>
      <c r="Q13" s="36"/>
      <c r="R13" s="36"/>
      <c r="S13" s="36"/>
      <c r="T13" s="36"/>
      <c r="U13" s="36"/>
      <c r="V13" s="37"/>
      <c r="W13" s="5"/>
      <c r="X13" s="17"/>
    </row>
    <row r="14" spans="1:24" s="18" customFormat="1" ht="14.25">
      <c r="A14" s="51" t="s">
        <v>13</v>
      </c>
      <c r="B14" s="35" t="s">
        <v>1</v>
      </c>
      <c r="C14" s="36">
        <v>2302111.7999008829</v>
      </c>
      <c r="D14" s="36">
        <v>4604223.5998017658</v>
      </c>
      <c r="E14" s="36">
        <v>6906335.3997026486</v>
      </c>
      <c r="F14" s="36">
        <v>9208447.1996035315</v>
      </c>
      <c r="G14" s="36">
        <v>11510558.999504413</v>
      </c>
      <c r="H14" s="36">
        <v>11510558.999504413</v>
      </c>
      <c r="I14" s="36">
        <v>11510558.999504413</v>
      </c>
      <c r="J14" s="36">
        <v>11510558.999504413</v>
      </c>
      <c r="K14" s="36">
        <v>11510558.999504413</v>
      </c>
      <c r="L14" s="36">
        <v>11510558.999504413</v>
      </c>
      <c r="M14" s="36">
        <v>11510558.999504413</v>
      </c>
      <c r="N14" s="36">
        <v>11510558.999504413</v>
      </c>
      <c r="O14" s="36">
        <v>11510558.999504413</v>
      </c>
      <c r="P14" s="36">
        <v>11510558.999504413</v>
      </c>
      <c r="Q14" s="36">
        <v>11510558.999504413</v>
      </c>
      <c r="R14" s="36">
        <v>11510558.999504413</v>
      </c>
      <c r="S14" s="36">
        <v>11510558.999504413</v>
      </c>
      <c r="T14" s="36">
        <v>11510558.999504413</v>
      </c>
      <c r="U14" s="36">
        <v>11510558.999504413</v>
      </c>
      <c r="V14" s="37">
        <v>11510558.999504413</v>
      </c>
      <c r="W14" s="5"/>
      <c r="X14" s="17"/>
    </row>
    <row r="15" spans="1:24" s="48" customFormat="1" ht="14.25">
      <c r="A15" s="38" t="s">
        <v>14</v>
      </c>
      <c r="B15" s="35" t="s">
        <v>1</v>
      </c>
      <c r="C15" s="36">
        <v>1058851.6058762397</v>
      </c>
      <c r="D15" s="36">
        <v>2117703.2117524794</v>
      </c>
      <c r="E15" s="36">
        <v>3176554.8176287189</v>
      </c>
      <c r="F15" s="36">
        <v>4235406.4235049589</v>
      </c>
      <c r="G15" s="36">
        <v>5294258.0293811979</v>
      </c>
      <c r="H15" s="36">
        <v>5294258.0293811979</v>
      </c>
      <c r="I15" s="36">
        <v>5294258.0293811979</v>
      </c>
      <c r="J15" s="36">
        <v>5294258.0293811979</v>
      </c>
      <c r="K15" s="36">
        <v>5294258.0293811979</v>
      </c>
      <c r="L15" s="36">
        <v>5294258.0293811979</v>
      </c>
      <c r="M15" s="36">
        <v>5294258.0293811979</v>
      </c>
      <c r="N15" s="36">
        <v>5294258.0293811979</v>
      </c>
      <c r="O15" s="36">
        <v>5294258.0293811979</v>
      </c>
      <c r="P15" s="36">
        <v>5294258.0293811979</v>
      </c>
      <c r="Q15" s="36">
        <v>5294258.0293811979</v>
      </c>
      <c r="R15" s="36">
        <v>5294258.0293811979</v>
      </c>
      <c r="S15" s="36">
        <v>5294258.0293811979</v>
      </c>
      <c r="T15" s="36">
        <v>5294258.0293811979</v>
      </c>
      <c r="U15" s="36">
        <v>5294258.0293811979</v>
      </c>
      <c r="V15" s="37">
        <v>5294258.0293811979</v>
      </c>
      <c r="W15" s="5"/>
      <c r="X15" s="47"/>
    </row>
    <row r="16" spans="1:24" s="48" customFormat="1" ht="14.25">
      <c r="A16" s="38" t="s">
        <v>15</v>
      </c>
      <c r="B16" s="35" t="s">
        <v>1</v>
      </c>
      <c r="C16" s="36">
        <v>1387542.8217365879</v>
      </c>
      <c r="D16" s="36">
        <v>2775085.6434731758</v>
      </c>
      <c r="E16" s="36">
        <v>4162628.4652097635</v>
      </c>
      <c r="F16" s="36">
        <v>5550171.2869463516</v>
      </c>
      <c r="G16" s="36">
        <v>6937714.1086829398</v>
      </c>
      <c r="H16" s="36">
        <v>6937714.1086829398</v>
      </c>
      <c r="I16" s="36">
        <v>6937714.1086829398</v>
      </c>
      <c r="J16" s="36">
        <v>6937714.1086829398</v>
      </c>
      <c r="K16" s="36">
        <v>6937714.1086829398</v>
      </c>
      <c r="L16" s="36">
        <v>6937714.1086829398</v>
      </c>
      <c r="M16" s="36">
        <v>6937714.1086829398</v>
      </c>
      <c r="N16" s="36">
        <v>6937714.1086829398</v>
      </c>
      <c r="O16" s="36">
        <v>6937714.1086829398</v>
      </c>
      <c r="P16" s="36">
        <v>6937714.1086829398</v>
      </c>
      <c r="Q16" s="36">
        <v>6937714.1086829398</v>
      </c>
      <c r="R16" s="36">
        <v>6937714.1086829398</v>
      </c>
      <c r="S16" s="36">
        <v>6937714.1086829398</v>
      </c>
      <c r="T16" s="36">
        <v>6937714.1086829398</v>
      </c>
      <c r="U16" s="36">
        <v>6937714.1086829398</v>
      </c>
      <c r="V16" s="37">
        <v>6937714.1086829398</v>
      </c>
      <c r="W16" s="5"/>
      <c r="X16" s="47"/>
    </row>
    <row r="17" spans="1:24" s="48" customFormat="1" ht="14.25">
      <c r="A17" s="39" t="s">
        <v>16</v>
      </c>
      <c r="B17" s="40" t="s">
        <v>1</v>
      </c>
      <c r="C17" s="36">
        <v>2044099.1017377481</v>
      </c>
      <c r="D17" s="36">
        <v>4088198.2034754963</v>
      </c>
      <c r="E17" s="36">
        <v>6132297.3052132446</v>
      </c>
      <c r="F17" s="36">
        <v>8176396.4069509925</v>
      </c>
      <c r="G17" s="36">
        <v>10220495.508688742</v>
      </c>
      <c r="H17" s="36">
        <v>10220495.508688742</v>
      </c>
      <c r="I17" s="36">
        <v>10220495.508688742</v>
      </c>
      <c r="J17" s="36">
        <v>10220495.508688742</v>
      </c>
      <c r="K17" s="36">
        <v>10220495.508688742</v>
      </c>
      <c r="L17" s="36">
        <v>10220495.508688742</v>
      </c>
      <c r="M17" s="36">
        <v>10220495.508688742</v>
      </c>
      <c r="N17" s="36">
        <v>10220495.508688742</v>
      </c>
      <c r="O17" s="36">
        <v>10220495.508688742</v>
      </c>
      <c r="P17" s="36">
        <v>10220495.508688742</v>
      </c>
      <c r="Q17" s="36">
        <v>10220495.508688742</v>
      </c>
      <c r="R17" s="36">
        <v>10220495.508688742</v>
      </c>
      <c r="S17" s="36">
        <v>10220495.508688742</v>
      </c>
      <c r="T17" s="36">
        <v>10220495.508688742</v>
      </c>
      <c r="U17" s="36">
        <v>10220495.508688742</v>
      </c>
      <c r="V17" s="37">
        <v>10220495.508688742</v>
      </c>
      <c r="W17" s="5"/>
      <c r="X17" s="47"/>
    </row>
    <row r="18" spans="1:24" s="18" customFormat="1" thickBot="1">
      <c r="A18" s="39" t="s">
        <v>17</v>
      </c>
      <c r="B18" s="40" t="s">
        <v>1</v>
      </c>
      <c r="C18" s="36">
        <v>4838892.9658642653</v>
      </c>
      <c r="D18" s="36">
        <v>9677785.9317285307</v>
      </c>
      <c r="E18" s="36">
        <v>14516678.8975928</v>
      </c>
      <c r="F18" s="36">
        <v>19355571.863457061</v>
      </c>
      <c r="G18" s="36">
        <v>24194464.829321332</v>
      </c>
      <c r="H18" s="36">
        <v>24194464.829321332</v>
      </c>
      <c r="I18" s="36">
        <v>24194464.829321332</v>
      </c>
      <c r="J18" s="36">
        <v>24194464.829321332</v>
      </c>
      <c r="K18" s="36">
        <v>24194464.829321332</v>
      </c>
      <c r="L18" s="36">
        <v>24194464.829321332</v>
      </c>
      <c r="M18" s="36">
        <v>24194464.829321332</v>
      </c>
      <c r="N18" s="36">
        <v>24194464.829321332</v>
      </c>
      <c r="O18" s="36">
        <v>24194464.829321332</v>
      </c>
      <c r="P18" s="36">
        <v>24194464.829321332</v>
      </c>
      <c r="Q18" s="36">
        <v>24194464.829321332</v>
      </c>
      <c r="R18" s="36">
        <v>24194464.829321332</v>
      </c>
      <c r="S18" s="36">
        <v>24194464.829321332</v>
      </c>
      <c r="T18" s="36">
        <v>24194464.829321332</v>
      </c>
      <c r="U18" s="36">
        <v>24194464.829321332</v>
      </c>
      <c r="V18" s="37">
        <v>24194464.829321332</v>
      </c>
      <c r="W18" s="5"/>
      <c r="X18" s="17"/>
    </row>
    <row r="19" spans="1:24" s="48" customFormat="1" thickBot="1">
      <c r="A19" s="52" t="s">
        <v>21</v>
      </c>
      <c r="B19" s="44" t="s">
        <v>1</v>
      </c>
      <c r="C19" s="45">
        <v>12795817.42206993</v>
      </c>
      <c r="D19" s="45">
        <v>24427315.717185654</v>
      </c>
      <c r="E19" s="45">
        <v>36058814.012301378</v>
      </c>
      <c r="F19" s="45">
        <v>47690312.307417102</v>
      </c>
      <c r="G19" s="45">
        <v>59321810.602532834</v>
      </c>
      <c r="H19" s="45">
        <v>58157491.475578621</v>
      </c>
      <c r="I19" s="45">
        <v>58157491.475578621</v>
      </c>
      <c r="J19" s="45">
        <v>58157491.475578621</v>
      </c>
      <c r="K19" s="45">
        <v>58157491.475578621</v>
      </c>
      <c r="L19" s="45">
        <v>58157491.475578621</v>
      </c>
      <c r="M19" s="45">
        <v>58157491.475578621</v>
      </c>
      <c r="N19" s="45">
        <v>58157491.475578621</v>
      </c>
      <c r="O19" s="45">
        <v>58157491.475578621</v>
      </c>
      <c r="P19" s="45">
        <v>58157491.475578621</v>
      </c>
      <c r="Q19" s="45">
        <v>58157491.475578621</v>
      </c>
      <c r="R19" s="45">
        <v>58157491.475578621</v>
      </c>
      <c r="S19" s="45">
        <v>58157491.475578621</v>
      </c>
      <c r="T19" s="45">
        <v>58157491.475578621</v>
      </c>
      <c r="U19" s="45">
        <v>58157491.475578621</v>
      </c>
      <c r="V19" s="46">
        <v>58157491.475578621</v>
      </c>
      <c r="W19" s="14"/>
      <c r="X19" s="47"/>
    </row>
    <row r="20" spans="1:24" s="48" customFormat="1" ht="14.25">
      <c r="A20" s="53" t="s">
        <v>0</v>
      </c>
      <c r="B20" s="54" t="s">
        <v>1</v>
      </c>
      <c r="C20" s="45">
        <v>-7482327.8455155054</v>
      </c>
      <c r="D20" s="45">
        <v>-7133491.0057308041</v>
      </c>
      <c r="E20" s="45">
        <v>-3695407.9751890339</v>
      </c>
      <c r="F20" s="45">
        <v>10395586.716100685</v>
      </c>
      <c r="G20" s="45">
        <v>13285563.176864401</v>
      </c>
      <c r="H20" s="45">
        <v>14449882.303818613</v>
      </c>
      <c r="I20" s="45">
        <v>14449882.303818613</v>
      </c>
      <c r="J20" s="45">
        <v>14449882.303818613</v>
      </c>
      <c r="K20" s="45">
        <v>14449882.303818613</v>
      </c>
      <c r="L20" s="45">
        <v>14449882.303818613</v>
      </c>
      <c r="M20" s="45">
        <v>14449882.303818613</v>
      </c>
      <c r="N20" s="45">
        <v>14449882.303818613</v>
      </c>
      <c r="O20" s="45">
        <v>14449882.303818613</v>
      </c>
      <c r="P20" s="45">
        <v>14449882.303818613</v>
      </c>
      <c r="Q20" s="45">
        <v>14449882.303818613</v>
      </c>
      <c r="R20" s="45">
        <v>14449882.303818613</v>
      </c>
      <c r="S20" s="45">
        <v>14449882.303818613</v>
      </c>
      <c r="T20" s="45">
        <v>14449882.303818613</v>
      </c>
      <c r="U20" s="45">
        <v>14449882.303818613</v>
      </c>
      <c r="V20" s="46">
        <v>14449882.303818613</v>
      </c>
      <c r="W20" s="14"/>
      <c r="X20" s="47"/>
    </row>
    <row r="21" spans="1:24" s="18" customFormat="1" ht="14.25">
      <c r="A21" s="55"/>
      <c r="B21" s="56"/>
      <c r="C21" s="36"/>
      <c r="D21" s="36"/>
      <c r="E21" s="36"/>
      <c r="F21" s="36"/>
      <c r="G21" s="36"/>
      <c r="H21" s="36"/>
      <c r="I21" s="36"/>
      <c r="J21" s="36"/>
      <c r="K21" s="36"/>
      <c r="L21" s="36"/>
      <c r="M21" s="36"/>
      <c r="N21" s="36"/>
      <c r="O21" s="36"/>
      <c r="P21" s="36"/>
      <c r="Q21" s="36"/>
      <c r="R21" s="36"/>
      <c r="S21" s="36"/>
      <c r="T21" s="36"/>
      <c r="U21" s="36"/>
      <c r="V21" s="37"/>
      <c r="W21" s="5"/>
      <c r="X21" s="17"/>
    </row>
    <row r="22" spans="1:24" s="18" customFormat="1" ht="14.25">
      <c r="A22" s="57" t="s">
        <v>36</v>
      </c>
      <c r="B22" s="54" t="s">
        <v>1</v>
      </c>
      <c r="C22" s="36">
        <v>179678.70823071498</v>
      </c>
      <c r="D22" s="36">
        <v>368122.23149707459</v>
      </c>
      <c r="E22" s="36">
        <v>565330.56979907886</v>
      </c>
      <c r="F22" s="36">
        <v>771303.72313672781</v>
      </c>
      <c r="G22" s="36">
        <v>986041.69151002134</v>
      </c>
      <c r="H22" s="36">
        <v>1007953.7290991329</v>
      </c>
      <c r="I22" s="36">
        <v>1029865.7666882445</v>
      </c>
      <c r="J22" s="36">
        <v>1051777.804277356</v>
      </c>
      <c r="K22" s="36">
        <v>1073689.8418664678</v>
      </c>
      <c r="L22" s="36">
        <v>1095601.8794555792</v>
      </c>
      <c r="M22" s="36">
        <v>1117513.917044691</v>
      </c>
      <c r="N22" s="36">
        <v>1139425.9546338024</v>
      </c>
      <c r="O22" s="36">
        <v>1161337.992222914</v>
      </c>
      <c r="P22" s="36">
        <v>1205162.0674011372</v>
      </c>
      <c r="Q22" s="36">
        <v>1227074.1049902486</v>
      </c>
      <c r="R22" s="36">
        <v>1248986.1425793604</v>
      </c>
      <c r="S22" s="36">
        <v>1270898.180168472</v>
      </c>
      <c r="T22" s="36">
        <v>1314722.2553466952</v>
      </c>
      <c r="U22" s="36">
        <v>1336634.2929358066</v>
      </c>
      <c r="V22" s="37">
        <v>1380458.3681140298</v>
      </c>
      <c r="W22" s="5"/>
      <c r="X22" s="17"/>
    </row>
    <row r="23" spans="1:24" s="18" customFormat="1" ht="14.25">
      <c r="A23" s="57" t="s">
        <v>37</v>
      </c>
      <c r="B23" s="54" t="s">
        <v>1</v>
      </c>
      <c r="C23" s="36">
        <v>359357.41646142997</v>
      </c>
      <c r="D23" s="36">
        <v>736244.46299414919</v>
      </c>
      <c r="E23" s="36">
        <v>1130661.1395981577</v>
      </c>
      <c r="F23" s="36">
        <v>1525077.8162021665</v>
      </c>
      <c r="G23" s="36">
        <v>1950171.3454309313</v>
      </c>
      <c r="H23" s="36">
        <v>1993995.4206091543</v>
      </c>
      <c r="I23" s="36">
        <v>2059731.5333764891</v>
      </c>
      <c r="J23" s="36">
        <v>2103555.608554712</v>
      </c>
      <c r="K23" s="36">
        <v>2147379.6837329357</v>
      </c>
      <c r="L23" s="36">
        <v>2191203.7589111584</v>
      </c>
      <c r="M23" s="36">
        <v>2235027.8340893821</v>
      </c>
      <c r="N23" s="36">
        <v>2300763.9468567162</v>
      </c>
      <c r="O23" s="36">
        <v>2344588.0220349394</v>
      </c>
      <c r="P23" s="36">
        <v>2388412.0972131626</v>
      </c>
      <c r="Q23" s="36">
        <v>2454148.2099804971</v>
      </c>
      <c r="R23" s="36">
        <v>2497972.2851587208</v>
      </c>
      <c r="S23" s="36">
        <v>2563708.3979260554</v>
      </c>
      <c r="T23" s="36">
        <v>2629444.5106933904</v>
      </c>
      <c r="U23" s="36">
        <v>2673268.5858716131</v>
      </c>
      <c r="V23" s="37">
        <v>2739004.6986389481</v>
      </c>
      <c r="W23" s="5"/>
      <c r="X23" s="17"/>
    </row>
    <row r="24" spans="1:24" s="18" customFormat="1" ht="14.25">
      <c r="A24" s="58"/>
      <c r="B24" s="54"/>
      <c r="C24" s="36"/>
      <c r="D24" s="36"/>
      <c r="E24" s="36"/>
      <c r="F24" s="36"/>
      <c r="G24" s="36"/>
      <c r="H24" s="36"/>
      <c r="I24" s="36"/>
      <c r="J24" s="36"/>
      <c r="K24" s="36"/>
      <c r="L24" s="36"/>
      <c r="M24" s="36"/>
      <c r="N24" s="36"/>
      <c r="O24" s="36"/>
      <c r="P24" s="36"/>
      <c r="Q24" s="36"/>
      <c r="R24" s="36"/>
      <c r="S24" s="36"/>
      <c r="T24" s="36"/>
      <c r="U24" s="36"/>
      <c r="V24" s="37"/>
      <c r="W24" s="5"/>
      <c r="X24" s="17"/>
    </row>
    <row r="25" spans="1:24" s="48" customFormat="1" ht="14.25">
      <c r="A25" s="59" t="s">
        <v>38</v>
      </c>
      <c r="B25" s="54"/>
      <c r="C25" s="45">
        <v>-7302649.1372847902</v>
      </c>
      <c r="D25" s="45">
        <v>-6765368.7742337296</v>
      </c>
      <c r="E25" s="45">
        <v>-3130077.4053899553</v>
      </c>
      <c r="F25" s="45">
        <v>11166890.439237414</v>
      </c>
      <c r="G25" s="45">
        <v>14271604.868374422</v>
      </c>
      <c r="H25" s="45">
        <v>15457836.032917745</v>
      </c>
      <c r="I25" s="45">
        <v>15479748.070506858</v>
      </c>
      <c r="J25" s="45">
        <v>15501660.10809597</v>
      </c>
      <c r="K25" s="45">
        <v>15523572.14568508</v>
      </c>
      <c r="L25" s="45">
        <v>15545484.183274193</v>
      </c>
      <c r="M25" s="45">
        <v>15567396.220863305</v>
      </c>
      <c r="N25" s="45">
        <v>15589308.258452415</v>
      </c>
      <c r="O25" s="45">
        <v>15611220.296041528</v>
      </c>
      <c r="P25" s="45">
        <v>15655044.37121975</v>
      </c>
      <c r="Q25" s="45">
        <v>15676956.408808861</v>
      </c>
      <c r="R25" s="45">
        <v>15698868.446397973</v>
      </c>
      <c r="S25" s="45">
        <v>15720780.483987086</v>
      </c>
      <c r="T25" s="45">
        <v>15764604.559165308</v>
      </c>
      <c r="U25" s="45">
        <v>15786516.596754421</v>
      </c>
      <c r="V25" s="46">
        <v>15830340.671932643</v>
      </c>
      <c r="W25" s="14"/>
      <c r="X25" s="47"/>
    </row>
    <row r="26" spans="1:24" s="48" customFormat="1" thickBot="1">
      <c r="A26" s="60" t="s">
        <v>39</v>
      </c>
      <c r="B26" s="61"/>
      <c r="C26" s="62">
        <v>-7122970.4290540759</v>
      </c>
      <c r="D26" s="62">
        <v>-6397246.5427366551</v>
      </c>
      <c r="E26" s="62">
        <v>-2564746.8355908762</v>
      </c>
      <c r="F26" s="62">
        <v>11920664.532302853</v>
      </c>
      <c r="G26" s="62">
        <v>15235734.522295332</v>
      </c>
      <c r="H26" s="62">
        <v>16443877.724427767</v>
      </c>
      <c r="I26" s="62">
        <v>16509613.837195102</v>
      </c>
      <c r="J26" s="62">
        <v>16553437.912373325</v>
      </c>
      <c r="K26" s="62">
        <v>16597261.987551549</v>
      </c>
      <c r="L26" s="62">
        <v>16641086.062729772</v>
      </c>
      <c r="M26" s="62">
        <v>16684910.137907995</v>
      </c>
      <c r="N26" s="62">
        <v>16750646.25067533</v>
      </c>
      <c r="O26" s="62">
        <v>16794470.325853553</v>
      </c>
      <c r="P26" s="62">
        <v>16838294.401031777</v>
      </c>
      <c r="Q26" s="62">
        <v>16904030.513799109</v>
      </c>
      <c r="R26" s="62">
        <v>16947854.588977333</v>
      </c>
      <c r="S26" s="62">
        <v>17013590.701744668</v>
      </c>
      <c r="T26" s="62">
        <v>17079326.814512003</v>
      </c>
      <c r="U26" s="62">
        <v>17123150.889690228</v>
      </c>
      <c r="V26" s="63">
        <v>17188887.002457563</v>
      </c>
      <c r="W26" s="14"/>
      <c r="X26" s="47"/>
    </row>
    <row r="27" spans="1:24" s="18" customFormat="1" thickBot="1">
      <c r="A27" s="64"/>
      <c r="B27" s="22"/>
      <c r="C27" s="65"/>
      <c r="D27" s="65"/>
      <c r="E27" s="65"/>
      <c r="F27" s="65"/>
      <c r="G27" s="65"/>
      <c r="H27" s="65"/>
      <c r="I27" s="66"/>
      <c r="J27" s="66"/>
      <c r="K27" s="67"/>
      <c r="L27" s="67"/>
      <c r="M27" s="67"/>
      <c r="N27" s="67"/>
      <c r="O27" s="67"/>
      <c r="P27" s="67"/>
      <c r="Q27" s="67"/>
      <c r="R27" s="67"/>
      <c r="S27" s="67"/>
      <c r="T27" s="67"/>
      <c r="U27" s="67"/>
      <c r="V27" s="68"/>
      <c r="W27" s="69"/>
      <c r="X27" s="17"/>
    </row>
    <row r="28" spans="1:24" s="18" customFormat="1" ht="14.25">
      <c r="A28" s="134" t="s">
        <v>22</v>
      </c>
      <c r="B28" s="135"/>
      <c r="C28" s="70"/>
      <c r="D28" s="71"/>
      <c r="E28" s="71"/>
      <c r="F28" s="71"/>
      <c r="G28" s="71"/>
      <c r="H28" s="71"/>
      <c r="I28" s="72"/>
      <c r="J28" s="72"/>
      <c r="K28" s="66"/>
      <c r="L28" s="66"/>
      <c r="M28" s="66"/>
      <c r="N28" s="66"/>
      <c r="O28" s="66"/>
      <c r="P28" s="66"/>
      <c r="Q28" s="66"/>
      <c r="R28" s="66"/>
      <c r="S28" s="66"/>
      <c r="T28" s="66"/>
      <c r="U28" s="66"/>
      <c r="V28" s="73"/>
      <c r="W28" s="74"/>
      <c r="X28" s="17"/>
    </row>
    <row r="29" spans="1:24" s="18" customFormat="1" ht="14.25">
      <c r="A29" s="53" t="s">
        <v>10</v>
      </c>
      <c r="B29" s="75">
        <v>0.06</v>
      </c>
      <c r="C29" s="70"/>
      <c r="D29" s="71"/>
      <c r="E29" s="71"/>
      <c r="F29" s="71"/>
      <c r="G29" s="71"/>
      <c r="H29" s="71"/>
      <c r="I29" s="72"/>
      <c r="J29" s="72"/>
      <c r="K29" s="72"/>
      <c r="L29" s="72"/>
      <c r="M29" s="72"/>
      <c r="N29" s="72"/>
      <c r="O29" s="72"/>
      <c r="P29" s="72"/>
      <c r="Q29" s="72"/>
      <c r="R29" s="72"/>
      <c r="S29" s="72"/>
      <c r="T29" s="72"/>
      <c r="U29" s="72"/>
      <c r="V29" s="76"/>
      <c r="W29" s="74"/>
      <c r="X29" s="17"/>
    </row>
    <row r="30" spans="1:24" s="18" customFormat="1" thickBot="1">
      <c r="A30" s="136" t="s">
        <v>23</v>
      </c>
      <c r="B30" s="137"/>
      <c r="C30" s="77"/>
      <c r="D30" s="72"/>
      <c r="E30" s="72"/>
      <c r="F30" s="72"/>
      <c r="G30" s="72"/>
      <c r="H30" s="72"/>
      <c r="I30" s="72"/>
      <c r="J30" s="72"/>
      <c r="K30" s="72"/>
      <c r="L30" s="72"/>
      <c r="M30" s="72"/>
      <c r="N30" s="72"/>
      <c r="O30" s="72"/>
      <c r="P30" s="72"/>
      <c r="Q30" s="72"/>
      <c r="R30" s="72"/>
      <c r="S30" s="72"/>
      <c r="T30" s="72"/>
      <c r="U30" s="72"/>
      <c r="V30" s="76"/>
      <c r="W30" s="74"/>
      <c r="X30" s="17"/>
    </row>
    <row r="31" spans="1:24" s="18" customFormat="1" thickBot="1">
      <c r="A31" s="78" t="s">
        <v>7</v>
      </c>
      <c r="B31" s="147">
        <v>106522557.49967822</v>
      </c>
      <c r="C31" s="80" t="s">
        <v>1</v>
      </c>
      <c r="D31" s="80"/>
      <c r="E31" s="80"/>
      <c r="F31" s="80"/>
      <c r="G31" s="80"/>
      <c r="H31" s="80"/>
      <c r="I31" s="80"/>
      <c r="J31" s="80"/>
      <c r="K31" s="72"/>
      <c r="L31" s="72"/>
      <c r="M31" s="72"/>
      <c r="N31" s="72"/>
      <c r="O31" s="72"/>
      <c r="P31" s="72"/>
      <c r="Q31" s="72"/>
      <c r="R31" s="72"/>
      <c r="S31" s="72"/>
      <c r="T31" s="72"/>
      <c r="U31" s="72"/>
      <c r="V31" s="76"/>
      <c r="W31" s="74"/>
      <c r="X31" s="17"/>
    </row>
    <row r="32" spans="1:24" s="18" customFormat="1" thickBot="1">
      <c r="A32" s="78" t="s">
        <v>8</v>
      </c>
      <c r="B32" s="81">
        <v>0.43913761788757577</v>
      </c>
      <c r="C32" s="82" t="s">
        <v>24</v>
      </c>
      <c r="D32" s="82"/>
      <c r="E32" s="82"/>
      <c r="F32" s="82"/>
      <c r="G32" s="82"/>
      <c r="H32" s="82"/>
      <c r="I32" s="82"/>
      <c r="J32" s="82"/>
      <c r="K32" s="72"/>
      <c r="L32" s="72"/>
      <c r="M32" s="72"/>
      <c r="N32" s="72"/>
      <c r="O32" s="72"/>
      <c r="P32" s="72"/>
      <c r="Q32" s="72"/>
      <c r="R32" s="72"/>
      <c r="S32" s="72"/>
      <c r="T32" s="72"/>
      <c r="U32" s="72"/>
      <c r="V32" s="76"/>
      <c r="W32" s="74"/>
      <c r="X32" s="17"/>
    </row>
    <row r="33" spans="1:24" s="18" customFormat="1" thickBot="1">
      <c r="A33" s="78" t="s">
        <v>9</v>
      </c>
      <c r="B33" s="81">
        <v>0.1781879838528091</v>
      </c>
      <c r="C33" s="80" t="s">
        <v>24</v>
      </c>
      <c r="D33" s="80"/>
      <c r="E33" s="80"/>
      <c r="F33" s="80"/>
      <c r="G33" s="80"/>
      <c r="H33" s="80"/>
      <c r="I33" s="80"/>
      <c r="J33" s="80"/>
      <c r="K33" s="72"/>
      <c r="L33" s="72"/>
      <c r="M33" s="72"/>
      <c r="N33" s="72"/>
      <c r="O33" s="72"/>
      <c r="P33" s="72"/>
      <c r="Q33" s="72"/>
      <c r="R33" s="72"/>
      <c r="S33" s="72"/>
      <c r="T33" s="72"/>
      <c r="U33" s="72"/>
      <c r="V33" s="76"/>
      <c r="W33" s="74"/>
      <c r="X33" s="17"/>
    </row>
    <row r="34" spans="1:24" s="18" customFormat="1" thickBot="1">
      <c r="A34" s="83" t="s">
        <v>25</v>
      </c>
      <c r="B34" s="148">
        <v>1.211007265732976</v>
      </c>
      <c r="C34" s="85" t="s">
        <v>24</v>
      </c>
      <c r="D34" s="85"/>
      <c r="E34" s="85"/>
      <c r="F34" s="85"/>
      <c r="G34" s="85"/>
      <c r="H34" s="85"/>
      <c r="I34" s="85"/>
      <c r="J34" s="85"/>
      <c r="K34" s="72"/>
      <c r="L34" s="72"/>
      <c r="M34" s="72"/>
      <c r="N34" s="72"/>
      <c r="O34" s="72"/>
      <c r="P34" s="72"/>
      <c r="Q34" s="72"/>
      <c r="R34" s="72"/>
      <c r="S34" s="72"/>
      <c r="T34" s="72"/>
      <c r="U34" s="72"/>
      <c r="V34" s="76"/>
      <c r="W34" s="74"/>
      <c r="X34" s="17"/>
    </row>
    <row r="35" spans="1:24" s="18" customFormat="1" thickBot="1">
      <c r="A35" s="87"/>
      <c r="B35" s="88"/>
      <c r="V35" s="90"/>
      <c r="W35" s="91"/>
      <c r="X35" s="17"/>
    </row>
    <row r="36" spans="1:24" s="18" customFormat="1" thickBot="1">
      <c r="A36" s="138" t="s">
        <v>40</v>
      </c>
      <c r="B36" s="139"/>
      <c r="C36" s="71"/>
      <c r="D36" s="71"/>
      <c r="E36" s="71"/>
      <c r="F36" s="71"/>
      <c r="G36" s="71"/>
      <c r="H36" s="71"/>
      <c r="I36" s="72"/>
      <c r="J36" s="72"/>
      <c r="K36" s="66"/>
      <c r="L36" s="66"/>
      <c r="M36" s="66"/>
      <c r="N36" s="66"/>
      <c r="O36" s="66"/>
      <c r="P36" s="66"/>
      <c r="Q36" s="66"/>
      <c r="R36" s="66"/>
      <c r="S36" s="66"/>
      <c r="T36" s="66"/>
      <c r="U36" s="66"/>
      <c r="V36" s="73"/>
      <c r="W36" s="74"/>
      <c r="X36" s="17"/>
    </row>
    <row r="37" spans="1:24" s="18" customFormat="1" thickBot="1">
      <c r="A37" s="93" t="s">
        <v>10</v>
      </c>
      <c r="B37" s="94">
        <v>0.06</v>
      </c>
      <c r="C37" s="71"/>
      <c r="D37" s="71"/>
      <c r="E37" s="71"/>
      <c r="F37" s="71"/>
      <c r="G37" s="71"/>
      <c r="H37" s="71"/>
      <c r="I37" s="72"/>
      <c r="J37" s="72"/>
      <c r="K37" s="72"/>
      <c r="L37" s="72"/>
      <c r="M37" s="72"/>
      <c r="N37" s="72"/>
      <c r="O37" s="72"/>
      <c r="P37" s="72"/>
      <c r="Q37" s="72"/>
      <c r="R37" s="72"/>
      <c r="S37" s="72"/>
      <c r="T37" s="72"/>
      <c r="U37" s="72"/>
      <c r="V37" s="76"/>
      <c r="W37" s="74"/>
      <c r="X37" s="17"/>
    </row>
    <row r="38" spans="1:24" s="18" customFormat="1" thickBot="1">
      <c r="A38" s="140" t="s">
        <v>23</v>
      </c>
      <c r="B38" s="141"/>
      <c r="C38" s="72"/>
      <c r="D38" s="72"/>
      <c r="E38" s="72"/>
      <c r="F38" s="72"/>
      <c r="G38" s="72"/>
      <c r="H38" s="72"/>
      <c r="I38" s="72"/>
      <c r="J38" s="72"/>
      <c r="K38" s="72"/>
      <c r="L38" s="72"/>
      <c r="M38" s="72"/>
      <c r="N38" s="72"/>
      <c r="O38" s="72"/>
      <c r="P38" s="72"/>
      <c r="Q38" s="72"/>
      <c r="R38" s="72"/>
      <c r="S38" s="72"/>
      <c r="T38" s="72"/>
      <c r="U38" s="72"/>
      <c r="V38" s="76"/>
      <c r="W38" s="74"/>
      <c r="X38" s="17"/>
    </row>
    <row r="39" spans="1:24" s="18" customFormat="1" thickBot="1">
      <c r="A39" s="13" t="s">
        <v>7</v>
      </c>
      <c r="B39" s="95">
        <v>117185738.05519463</v>
      </c>
      <c r="C39" s="80" t="s">
        <v>1</v>
      </c>
      <c r="D39" s="80"/>
      <c r="E39" s="80"/>
      <c r="F39" s="80"/>
      <c r="G39" s="80"/>
      <c r="H39" s="80"/>
      <c r="I39" s="80"/>
      <c r="J39" s="80"/>
      <c r="K39" s="72"/>
      <c r="L39" s="72"/>
      <c r="M39" s="72"/>
      <c r="N39" s="72"/>
      <c r="O39" s="72"/>
      <c r="P39" s="72"/>
      <c r="Q39" s="72"/>
      <c r="R39" s="72"/>
      <c r="S39" s="72"/>
      <c r="T39" s="72"/>
      <c r="U39" s="72"/>
      <c r="V39" s="76"/>
      <c r="W39" s="74"/>
      <c r="X39" s="17"/>
    </row>
    <row r="40" spans="1:24" s="18" customFormat="1" thickBot="1">
      <c r="A40" s="51" t="s">
        <v>8</v>
      </c>
      <c r="B40" s="96">
        <v>0.47598596753852485</v>
      </c>
      <c r="C40" s="82" t="s">
        <v>24</v>
      </c>
      <c r="D40" s="82"/>
      <c r="E40" s="82"/>
      <c r="F40" s="82"/>
      <c r="G40" s="82"/>
      <c r="H40" s="82"/>
      <c r="I40" s="82"/>
      <c r="J40" s="82"/>
      <c r="K40" s="72"/>
      <c r="L40" s="72"/>
      <c r="M40" s="72"/>
      <c r="N40" s="72"/>
      <c r="O40" s="72"/>
      <c r="P40" s="72"/>
      <c r="Q40" s="72"/>
      <c r="R40" s="72"/>
      <c r="S40" s="72"/>
      <c r="T40" s="72"/>
      <c r="U40" s="72"/>
      <c r="V40" s="76"/>
      <c r="W40" s="74"/>
      <c r="X40" s="17"/>
    </row>
    <row r="41" spans="1:24" s="18" customFormat="1" thickBot="1">
      <c r="A41" s="83" t="s">
        <v>9</v>
      </c>
      <c r="B41" s="97">
        <v>0.18668191001259271</v>
      </c>
      <c r="C41" s="80" t="s">
        <v>24</v>
      </c>
      <c r="D41" s="80"/>
      <c r="E41" s="80"/>
      <c r="F41" s="80"/>
      <c r="G41" s="80"/>
      <c r="H41" s="80"/>
      <c r="I41" s="80"/>
      <c r="J41" s="80"/>
      <c r="K41" s="72"/>
      <c r="L41" s="72"/>
      <c r="M41" s="72"/>
      <c r="N41" s="72"/>
      <c r="O41" s="72"/>
      <c r="P41" s="72"/>
      <c r="Q41" s="72"/>
      <c r="R41" s="72"/>
      <c r="S41" s="72"/>
      <c r="T41" s="72"/>
      <c r="U41" s="72"/>
      <c r="V41" s="76"/>
      <c r="W41" s="74"/>
      <c r="X41" s="17"/>
    </row>
    <row r="42" spans="1:24" ht="15.75" thickBot="1"/>
    <row r="43" spans="1:24" s="18" customFormat="1" thickBot="1">
      <c r="A43" s="138" t="s">
        <v>41</v>
      </c>
      <c r="B43" s="139"/>
      <c r="C43" s="71"/>
      <c r="D43" s="71"/>
      <c r="E43" s="71"/>
      <c r="F43" s="71"/>
      <c r="G43" s="71"/>
      <c r="H43" s="71"/>
      <c r="I43" s="72"/>
      <c r="J43" s="72"/>
      <c r="K43" s="66"/>
      <c r="L43" s="66"/>
      <c r="M43" s="66"/>
      <c r="N43" s="66"/>
      <c r="O43" s="66"/>
      <c r="P43" s="66"/>
      <c r="Q43" s="66"/>
      <c r="R43" s="66"/>
      <c r="S43" s="66"/>
      <c r="T43" s="66"/>
      <c r="U43" s="66"/>
      <c r="V43" s="73"/>
      <c r="W43" s="74"/>
      <c r="X43" s="17"/>
    </row>
    <row r="44" spans="1:24" s="18" customFormat="1" thickBot="1">
      <c r="A44" s="93" t="s">
        <v>10</v>
      </c>
      <c r="B44" s="94">
        <v>0.06</v>
      </c>
      <c r="C44" s="71"/>
      <c r="D44" s="71"/>
      <c r="E44" s="71"/>
      <c r="F44" s="71"/>
      <c r="G44" s="71"/>
      <c r="H44" s="71"/>
      <c r="I44" s="72"/>
      <c r="J44" s="72"/>
      <c r="K44" s="72"/>
      <c r="L44" s="72"/>
      <c r="M44" s="72"/>
      <c r="N44" s="72"/>
      <c r="O44" s="72"/>
      <c r="P44" s="72"/>
      <c r="Q44" s="72"/>
      <c r="R44" s="72"/>
      <c r="S44" s="72"/>
      <c r="T44" s="72"/>
      <c r="U44" s="72"/>
      <c r="V44" s="76"/>
      <c r="W44" s="74"/>
      <c r="X44" s="17"/>
    </row>
    <row r="45" spans="1:24" s="18" customFormat="1" thickBot="1">
      <c r="A45" s="140" t="s">
        <v>23</v>
      </c>
      <c r="B45" s="141"/>
      <c r="C45" s="72"/>
      <c r="D45" s="72"/>
      <c r="E45" s="72"/>
      <c r="F45" s="72"/>
      <c r="G45" s="72"/>
      <c r="H45" s="72"/>
      <c r="I45" s="72"/>
      <c r="J45" s="72"/>
      <c r="K45" s="72"/>
      <c r="L45" s="72"/>
      <c r="M45" s="72"/>
      <c r="N45" s="72"/>
      <c r="O45" s="72"/>
      <c r="P45" s="72"/>
      <c r="Q45" s="72"/>
      <c r="R45" s="72"/>
      <c r="S45" s="72"/>
      <c r="T45" s="72"/>
      <c r="U45" s="72"/>
      <c r="V45" s="76"/>
      <c r="W45" s="74"/>
      <c r="X45" s="17"/>
    </row>
    <row r="46" spans="1:24" s="18" customFormat="1" thickBot="1">
      <c r="A46" s="13" t="s">
        <v>7</v>
      </c>
      <c r="B46" s="95">
        <v>127815988.61927946</v>
      </c>
      <c r="C46" s="80" t="s">
        <v>1</v>
      </c>
      <c r="D46" s="80"/>
      <c r="E46" s="80"/>
      <c r="F46" s="80"/>
      <c r="G46" s="80"/>
      <c r="H46" s="80"/>
      <c r="I46" s="80"/>
      <c r="J46" s="80"/>
      <c r="K46" s="72"/>
      <c r="L46" s="72"/>
      <c r="M46" s="72"/>
      <c r="N46" s="72"/>
      <c r="O46" s="72"/>
      <c r="P46" s="72"/>
      <c r="Q46" s="72"/>
      <c r="R46" s="72"/>
      <c r="S46" s="72"/>
      <c r="T46" s="72"/>
      <c r="U46" s="72"/>
      <c r="V46" s="76"/>
      <c r="W46" s="74"/>
      <c r="X46" s="17"/>
    </row>
    <row r="47" spans="1:24" s="18" customFormat="1" thickBot="1">
      <c r="A47" s="51" t="s">
        <v>8</v>
      </c>
      <c r="B47" s="96">
        <v>0.51351757469727177</v>
      </c>
      <c r="C47" s="82" t="s">
        <v>24</v>
      </c>
      <c r="D47" s="82"/>
      <c r="E47" s="82"/>
      <c r="F47" s="82"/>
      <c r="G47" s="82"/>
      <c r="H47" s="82"/>
      <c r="I47" s="82"/>
      <c r="J47" s="82"/>
      <c r="K47" s="72"/>
      <c r="L47" s="72"/>
      <c r="M47" s="72"/>
      <c r="N47" s="72"/>
      <c r="O47" s="72"/>
      <c r="P47" s="72"/>
      <c r="Q47" s="72"/>
      <c r="R47" s="72"/>
      <c r="S47" s="72"/>
      <c r="T47" s="72"/>
      <c r="U47" s="72"/>
      <c r="V47" s="76"/>
      <c r="W47" s="74"/>
      <c r="X47" s="17"/>
    </row>
    <row r="48" spans="1:24" s="18" customFormat="1" thickBot="1">
      <c r="A48" s="83" t="s">
        <v>9</v>
      </c>
      <c r="B48" s="97">
        <v>0.19513276311911754</v>
      </c>
      <c r="C48" s="80" t="s">
        <v>24</v>
      </c>
      <c r="D48" s="80"/>
      <c r="E48" s="80"/>
      <c r="F48" s="80"/>
      <c r="G48" s="80"/>
      <c r="H48" s="80"/>
      <c r="I48" s="80"/>
      <c r="J48" s="80"/>
      <c r="K48" s="72"/>
      <c r="L48" s="72"/>
      <c r="M48" s="72"/>
      <c r="N48" s="72"/>
      <c r="O48" s="72"/>
      <c r="P48" s="72"/>
      <c r="Q48" s="72"/>
      <c r="R48" s="72"/>
      <c r="S48" s="72"/>
      <c r="T48" s="72"/>
      <c r="U48" s="72"/>
      <c r="V48" s="76"/>
      <c r="W48" s="74"/>
      <c r="X48" s="17"/>
    </row>
    <row r="50" spans="1:24" s="102" customFormat="1" ht="12.75">
      <c r="V50" s="150"/>
      <c r="W50" s="106"/>
      <c r="X50" s="107"/>
    </row>
    <row r="51" spans="1:24" s="102" customFormat="1" ht="13.5" thickBot="1">
      <c r="B51" s="103" t="s">
        <v>26</v>
      </c>
      <c r="C51" s="104"/>
      <c r="D51" s="104"/>
      <c r="E51" s="104"/>
      <c r="F51" s="104"/>
      <c r="G51" s="104"/>
      <c r="H51" s="104"/>
      <c r="I51" s="104"/>
      <c r="J51" s="104"/>
      <c r="K51" s="104"/>
      <c r="L51" s="104"/>
      <c r="M51" s="104"/>
      <c r="N51" s="104"/>
      <c r="O51" s="104"/>
      <c r="P51" s="104"/>
      <c r="Q51" s="104"/>
      <c r="R51" s="104"/>
      <c r="S51" s="104"/>
      <c r="T51" s="104"/>
      <c r="U51" s="104"/>
      <c r="V51" s="105"/>
      <c r="W51" s="106"/>
      <c r="X51" s="107"/>
    </row>
    <row r="52" spans="1:24" s="102" customFormat="1" ht="12.75">
      <c r="B52" s="108" t="s">
        <v>27</v>
      </c>
      <c r="C52" s="109">
        <v>0</v>
      </c>
      <c r="D52" s="110">
        <v>1</v>
      </c>
      <c r="E52" s="110">
        <v>2</v>
      </c>
      <c r="F52" s="110">
        <v>3</v>
      </c>
      <c r="G52" s="110">
        <v>4</v>
      </c>
      <c r="H52" s="110">
        <v>5</v>
      </c>
      <c r="I52" s="110">
        <v>6</v>
      </c>
      <c r="J52" s="110">
        <v>7</v>
      </c>
      <c r="K52" s="110">
        <v>8</v>
      </c>
      <c r="L52" s="110">
        <v>9</v>
      </c>
      <c r="M52" s="110">
        <v>10</v>
      </c>
      <c r="N52" s="110">
        <v>11</v>
      </c>
      <c r="O52" s="110">
        <v>12</v>
      </c>
      <c r="P52" s="110">
        <v>13</v>
      </c>
      <c r="Q52" s="110">
        <v>14</v>
      </c>
      <c r="R52" s="110">
        <v>15</v>
      </c>
      <c r="S52" s="110">
        <v>16</v>
      </c>
      <c r="T52" s="110">
        <v>17</v>
      </c>
      <c r="U52" s="110">
        <v>18</v>
      </c>
      <c r="V52" s="110">
        <v>19</v>
      </c>
      <c r="W52" s="111">
        <v>20</v>
      </c>
      <c r="X52" s="107"/>
    </row>
    <row r="53" spans="1:24" s="102" customFormat="1" ht="12.75">
      <c r="B53" s="108" t="s">
        <v>28</v>
      </c>
      <c r="C53" s="112">
        <v>-5821595.6347710323</v>
      </c>
      <c r="D53" s="113"/>
      <c r="E53" s="113"/>
      <c r="F53" s="113"/>
      <c r="G53" s="113"/>
      <c r="H53" s="113"/>
      <c r="I53" s="113"/>
      <c r="J53" s="113"/>
      <c r="K53" s="113"/>
      <c r="L53" s="113"/>
      <c r="M53" s="113"/>
      <c r="N53" s="113"/>
      <c r="O53" s="113"/>
      <c r="P53" s="113"/>
      <c r="Q53" s="113"/>
      <c r="R53" s="113"/>
      <c r="S53" s="113"/>
      <c r="T53" s="113"/>
      <c r="U53" s="113"/>
      <c r="V53" s="113"/>
      <c r="W53" s="114"/>
      <c r="X53" s="107"/>
    </row>
    <row r="54" spans="1:24" s="102" customFormat="1" ht="12.75">
      <c r="B54" s="108" t="s">
        <v>29</v>
      </c>
      <c r="D54" s="115">
        <v>-6318008.7185613001</v>
      </c>
      <c r="E54" s="115">
        <v>-5969171.8787765987</v>
      </c>
      <c r="F54" s="115">
        <v>-2531088.8482348286</v>
      </c>
      <c r="G54" s="115">
        <v>11559905.843054891</v>
      </c>
      <c r="H54" s="115">
        <v>14449882.303818613</v>
      </c>
      <c r="I54" s="115">
        <v>14449882.303818613</v>
      </c>
      <c r="J54" s="115">
        <v>72607373.779397234</v>
      </c>
      <c r="K54" s="115">
        <v>72607373.779397234</v>
      </c>
      <c r="L54" s="115">
        <v>72607373.779397234</v>
      </c>
      <c r="M54" s="115">
        <v>72607373.779397234</v>
      </c>
      <c r="N54" s="115">
        <v>72607373.779397234</v>
      </c>
      <c r="O54" s="115">
        <v>72607373.779397234</v>
      </c>
      <c r="P54" s="115">
        <v>72607373.779397234</v>
      </c>
      <c r="Q54" s="115">
        <v>72607373.779397234</v>
      </c>
      <c r="R54" s="115">
        <v>72607373.779397234</v>
      </c>
      <c r="S54" s="115">
        <v>72607373.779397234</v>
      </c>
      <c r="T54" s="115">
        <v>72607373.779397234</v>
      </c>
      <c r="U54" s="115">
        <v>72607373.779397234</v>
      </c>
      <c r="V54" s="115">
        <v>72607373.779397234</v>
      </c>
      <c r="W54" s="116">
        <v>72607373.779397234</v>
      </c>
      <c r="X54" s="107"/>
    </row>
    <row r="55" spans="1:24" s="102" customFormat="1" ht="13.5" thickBot="1">
      <c r="B55" s="108" t="s">
        <v>30</v>
      </c>
      <c r="C55" s="117">
        <v>-5821595.6347710323</v>
      </c>
      <c r="D55" s="118">
        <v>-12139604.353332333</v>
      </c>
      <c r="E55" s="118">
        <v>-18108776.232108932</v>
      </c>
      <c r="F55" s="118">
        <v>-20639865.080343761</v>
      </c>
      <c r="G55" s="118">
        <v>-9079959.2372888699</v>
      </c>
      <c r="H55" s="118">
        <v>5369923.0665297434</v>
      </c>
      <c r="I55" s="118">
        <v>19819805.370348357</v>
      </c>
      <c r="J55" s="118">
        <v>92427179.149745584</v>
      </c>
      <c r="K55" s="118">
        <v>165034552.92914283</v>
      </c>
      <c r="L55" s="118">
        <v>237641926.70854008</v>
      </c>
      <c r="M55" s="118">
        <v>310249300.48793733</v>
      </c>
      <c r="N55" s="118">
        <v>382856674.26733458</v>
      </c>
      <c r="O55" s="118">
        <v>455464048.04673183</v>
      </c>
      <c r="P55" s="118">
        <v>528071421.82612908</v>
      </c>
      <c r="Q55" s="118">
        <v>600678795.60552633</v>
      </c>
      <c r="R55" s="118">
        <v>673286169.38492358</v>
      </c>
      <c r="S55" s="118">
        <v>745893543.16432083</v>
      </c>
      <c r="T55" s="118">
        <v>818500916.94371808</v>
      </c>
      <c r="U55" s="118">
        <v>891108290.72311532</v>
      </c>
      <c r="V55" s="118">
        <v>963715664.50251257</v>
      </c>
      <c r="W55" s="119">
        <v>1036323038.2819098</v>
      </c>
      <c r="X55" s="107"/>
    </row>
    <row r="56" spans="1:24" s="128" customFormat="1" ht="14.25">
      <c r="A56" s="120"/>
      <c r="B56" s="121"/>
      <c r="C56" s="122"/>
      <c r="D56" s="123"/>
      <c r="E56" s="124"/>
      <c r="F56" s="124"/>
      <c r="G56" s="124"/>
      <c r="H56" s="124"/>
      <c r="I56" s="124"/>
      <c r="J56" s="124"/>
      <c r="K56" s="124"/>
      <c r="L56" s="124"/>
      <c r="M56" s="124"/>
      <c r="N56" s="124"/>
      <c r="O56" s="124"/>
      <c r="P56" s="124"/>
      <c r="Q56" s="124"/>
      <c r="R56" s="124"/>
      <c r="S56" s="124"/>
      <c r="T56" s="124"/>
      <c r="U56" s="124"/>
      <c r="V56" s="125"/>
      <c r="W56" s="126"/>
      <c r="X56" s="127"/>
    </row>
    <row r="57" spans="1:24" s="128" customFormat="1" thickBot="1">
      <c r="B57" s="129" t="s">
        <v>31</v>
      </c>
      <c r="C57" s="130">
        <v>4.6283759996362974</v>
      </c>
      <c r="D57" s="127"/>
      <c r="V57" s="121"/>
      <c r="W57" s="126"/>
      <c r="X57" s="127"/>
    </row>
    <row r="58" spans="1:24" s="128" customFormat="1" ht="14.25">
      <c r="C58" s="124"/>
      <c r="V58" s="121"/>
      <c r="W58" s="126"/>
      <c r="X58" s="127"/>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tabColor rgb="FFFF0000"/>
    <pageSetUpPr fitToPage="1"/>
  </sheetPr>
  <dimension ref="A1:BB116"/>
  <sheetViews>
    <sheetView showGridLines="0" topLeftCell="H1" zoomScaleSheetLayoutView="90" workbookViewId="0">
      <pane ySplit="1" topLeftCell="A100" activePane="bottomLeft" state="frozen"/>
      <selection pane="bottomLeft" activeCell="W116" sqref="W116"/>
    </sheetView>
  </sheetViews>
  <sheetFormatPr defaultColWidth="17.42578125" defaultRowHeight="15" outlineLevelCol="1"/>
  <cols>
    <col min="1" max="1" width="26.7109375" style="626" customWidth="1"/>
    <col min="2" max="2" width="38.28515625" style="626" customWidth="1"/>
    <col min="3" max="3" width="58.42578125" style="626" customWidth="1"/>
    <col min="4" max="4" width="17.42578125" style="626"/>
    <col min="5" max="5" width="17.42578125" style="626" customWidth="1"/>
    <col min="6" max="6" width="43.28515625" style="625" customWidth="1"/>
    <col min="7" max="7" width="12.5703125" style="625" customWidth="1"/>
    <col min="8" max="9" width="12.5703125" style="624" customWidth="1"/>
    <col min="10" max="10" width="26.42578125" style="624" customWidth="1"/>
    <col min="11" max="11" width="21" style="624" customWidth="1"/>
    <col min="12" max="12" width="18.5703125" style="624" customWidth="1"/>
    <col min="13" max="17" width="13.140625" style="624" bestFit="1" customWidth="1"/>
    <col min="18" max="18" width="19.85546875" style="644" hidden="1" customWidth="1" outlineLevel="1"/>
    <col min="19" max="20" width="21.85546875" style="624" hidden="1" customWidth="1" outlineLevel="1"/>
    <col min="21" max="21" width="23.7109375" style="624" hidden="1" customWidth="1" outlineLevel="1"/>
    <col min="22" max="22" width="21.85546875" style="624" hidden="1" customWidth="1" outlineLevel="1"/>
    <col min="23" max="23" width="20.7109375" style="624" bestFit="1" customWidth="1" collapsed="1"/>
    <col min="24" max="24" width="18" style="624" bestFit="1" customWidth="1"/>
    <col min="25" max="25" width="6" style="624" customWidth="1"/>
    <col min="26" max="16384" width="17.42578125" style="624"/>
  </cols>
  <sheetData>
    <row r="1" spans="1:52" s="626" customFormat="1" ht="45">
      <c r="A1" s="687" t="s">
        <v>349</v>
      </c>
      <c r="B1" s="687" t="s">
        <v>348</v>
      </c>
      <c r="C1" s="687" t="s">
        <v>347</v>
      </c>
      <c r="D1" s="687" t="s">
        <v>346</v>
      </c>
      <c r="E1" s="687" t="s">
        <v>345</v>
      </c>
      <c r="F1" s="687" t="s">
        <v>344</v>
      </c>
      <c r="G1" s="689" t="s">
        <v>343</v>
      </c>
      <c r="H1" s="687" t="s">
        <v>342</v>
      </c>
      <c r="I1" s="687" t="s">
        <v>55</v>
      </c>
      <c r="J1" s="687" t="s">
        <v>341</v>
      </c>
      <c r="K1" s="687" t="s">
        <v>467</v>
      </c>
      <c r="L1" s="687" t="s">
        <v>466</v>
      </c>
      <c r="M1" s="687" t="s">
        <v>465</v>
      </c>
      <c r="N1" s="687" t="s">
        <v>464</v>
      </c>
      <c r="O1" s="687" t="s">
        <v>463</v>
      </c>
      <c r="P1" s="687" t="s">
        <v>462</v>
      </c>
      <c r="Q1" s="687" t="s">
        <v>461</v>
      </c>
      <c r="R1" s="687" t="s">
        <v>460</v>
      </c>
      <c r="S1" s="687" t="s">
        <v>340</v>
      </c>
      <c r="T1" s="687" t="s">
        <v>459</v>
      </c>
      <c r="U1" s="687" t="s">
        <v>339</v>
      </c>
      <c r="V1" s="687" t="s">
        <v>458</v>
      </c>
      <c r="W1" s="688"/>
      <c r="X1" s="688"/>
    </row>
    <row r="2" spans="1:52" ht="69.75" customHeight="1">
      <c r="A2" s="917" t="s">
        <v>264</v>
      </c>
      <c r="B2" s="928" t="s">
        <v>263</v>
      </c>
      <c r="C2" s="917" t="s">
        <v>338</v>
      </c>
      <c r="D2" s="913" t="s">
        <v>136</v>
      </c>
      <c r="E2" s="795" t="s">
        <v>283</v>
      </c>
      <c r="F2" s="665" t="s">
        <v>206</v>
      </c>
      <c r="G2" s="678" t="s">
        <v>261</v>
      </c>
      <c r="H2" s="660" t="s">
        <v>335</v>
      </c>
      <c r="I2" s="889">
        <f>K2/J2</f>
        <v>6058.1525255424522</v>
      </c>
      <c r="J2" s="889">
        <v>1998.9139141499215</v>
      </c>
      <c r="K2" s="889">
        <v>12109725.377349295</v>
      </c>
      <c r="L2" s="889">
        <v>399000</v>
      </c>
      <c r="M2" s="889">
        <f>3739000-3758.20755023507</f>
        <v>3735241.7924497649</v>
      </c>
      <c r="N2" s="889">
        <v>3464000</v>
      </c>
      <c r="O2" s="889">
        <f>2695000-3758.20755023507</f>
        <v>2691241.7924497649</v>
      </c>
      <c r="P2" s="889">
        <f>1824000-3758.20755023507</f>
        <v>1820241.7924497649</v>
      </c>
      <c r="Q2" s="889">
        <v>0</v>
      </c>
      <c r="R2" s="889">
        <f t="shared" ref="R2:R33" si="0">L2+M2+N2+O2+P2+Q2</f>
        <v>12109725.377349295</v>
      </c>
      <c r="S2" s="889">
        <f>R2</f>
        <v>12109725.377349295</v>
      </c>
      <c r="T2" s="889"/>
      <c r="U2" s="889">
        <v>0</v>
      </c>
      <c r="V2" s="889"/>
      <c r="W2" s="877"/>
      <c r="X2" s="877"/>
    </row>
    <row r="3" spans="1:52" ht="36" customHeight="1">
      <c r="A3" s="916"/>
      <c r="B3" s="915"/>
      <c r="C3" s="916"/>
      <c r="D3" s="931"/>
      <c r="E3" s="795" t="s">
        <v>283</v>
      </c>
      <c r="F3" s="665" t="s">
        <v>337</v>
      </c>
      <c r="G3" s="678" t="s">
        <v>255</v>
      </c>
      <c r="H3" s="660" t="s">
        <v>336</v>
      </c>
      <c r="I3" s="889">
        <v>60</v>
      </c>
      <c r="J3" s="889">
        <v>10633</v>
      </c>
      <c r="K3" s="889">
        <v>637980</v>
      </c>
      <c r="L3" s="889">
        <v>127596</v>
      </c>
      <c r="M3" s="889">
        <v>127596</v>
      </c>
      <c r="N3" s="889">
        <v>127596</v>
      </c>
      <c r="O3" s="889">
        <v>127596</v>
      </c>
      <c r="P3" s="889">
        <v>127596</v>
      </c>
      <c r="Q3" s="889">
        <v>0</v>
      </c>
      <c r="R3" s="889">
        <f t="shared" si="0"/>
        <v>637980</v>
      </c>
      <c r="S3" s="889">
        <f>R3</f>
        <v>637980</v>
      </c>
      <c r="T3" s="889"/>
      <c r="U3" s="889"/>
      <c r="V3" s="889"/>
      <c r="W3" s="877"/>
      <c r="X3" s="877"/>
    </row>
    <row r="4" spans="1:52" s="679" customFormat="1">
      <c r="A4" s="916"/>
      <c r="B4" s="915"/>
      <c r="C4" s="916"/>
      <c r="D4" s="931"/>
      <c r="E4" s="795" t="s">
        <v>282</v>
      </c>
      <c r="F4" s="665" t="s">
        <v>177</v>
      </c>
      <c r="G4" s="678">
        <v>2</v>
      </c>
      <c r="H4" s="660" t="s">
        <v>335</v>
      </c>
      <c r="I4" s="889">
        <v>15000</v>
      </c>
      <c r="J4" s="889">
        <f t="shared" ref="J4:J15" si="1">(K4/I4)</f>
        <v>162.11713605930873</v>
      </c>
      <c r="K4" s="889">
        <v>2431757.040889631</v>
      </c>
      <c r="L4" s="889">
        <f>92856.4978545664+30000</f>
        <v>122856.49785456641</v>
      </c>
      <c r="M4" s="889">
        <f>682365.130801749+30000</f>
        <v>712365.13080174895</v>
      </c>
      <c r="N4" s="889">
        <f>633961.339320645+30000</f>
        <v>663961.33932064497</v>
      </c>
      <c r="O4" s="889">
        <f>498135.814194162+30000</f>
        <v>528135.81419416203</v>
      </c>
      <c r="P4" s="889">
        <f>344438.258718509+30000</f>
        <v>374438.25871850899</v>
      </c>
      <c r="Q4" s="889">
        <v>30000</v>
      </c>
      <c r="R4" s="889">
        <f t="shared" si="0"/>
        <v>2431757.040889631</v>
      </c>
      <c r="S4" s="889">
        <v>0</v>
      </c>
      <c r="T4" s="889"/>
      <c r="U4" s="889">
        <f>(R4)</f>
        <v>2431757.040889631</v>
      </c>
      <c r="V4" s="889"/>
      <c r="W4" s="877"/>
      <c r="X4" s="877"/>
      <c r="Y4" s="624"/>
      <c r="Z4" s="624"/>
      <c r="AA4" s="624"/>
      <c r="AB4" s="624"/>
      <c r="AC4" s="624"/>
      <c r="AD4" s="624"/>
      <c r="AE4" s="624"/>
      <c r="AF4" s="624"/>
      <c r="AG4" s="624"/>
      <c r="AH4" s="624"/>
      <c r="AI4" s="624"/>
      <c r="AJ4" s="624"/>
      <c r="AK4" s="624"/>
      <c r="AL4" s="624"/>
      <c r="AM4" s="624"/>
      <c r="AN4" s="624"/>
      <c r="AO4" s="624"/>
      <c r="AP4" s="624"/>
      <c r="AQ4" s="624"/>
      <c r="AR4" s="624"/>
      <c r="AS4" s="624"/>
      <c r="AT4" s="624"/>
      <c r="AU4" s="624"/>
      <c r="AV4" s="624"/>
      <c r="AW4" s="624"/>
      <c r="AX4" s="624"/>
      <c r="AY4" s="624"/>
      <c r="AZ4" s="624"/>
    </row>
    <row r="5" spans="1:52" s="679" customFormat="1">
      <c r="A5" s="916"/>
      <c r="B5" s="915"/>
      <c r="C5" s="916"/>
      <c r="D5" s="932" t="s">
        <v>306</v>
      </c>
      <c r="E5" s="663" t="s">
        <v>283</v>
      </c>
      <c r="F5" s="680" t="s">
        <v>196</v>
      </c>
      <c r="G5" s="678">
        <f t="shared" ref="G5:G15" si="2">G4+1</f>
        <v>3</v>
      </c>
      <c r="H5" s="663" t="s">
        <v>335</v>
      </c>
      <c r="I5" s="884">
        <v>16270</v>
      </c>
      <c r="J5" s="884">
        <f t="shared" si="1"/>
        <v>357.81165548684896</v>
      </c>
      <c r="K5" s="884">
        <v>5821595.6347710323</v>
      </c>
      <c r="L5" s="884">
        <v>1623251.527607837</v>
      </c>
      <c r="M5" s="884">
        <v>1190257.5494776554</v>
      </c>
      <c r="N5" s="884">
        <v>1011872.1286124199</v>
      </c>
      <c r="O5" s="884">
        <v>879635.68742747116</v>
      </c>
      <c r="P5" s="884">
        <v>1116578.7416456486</v>
      </c>
      <c r="Q5" s="884">
        <v>0</v>
      </c>
      <c r="R5" s="884">
        <f t="shared" si="0"/>
        <v>5821595.6347710323</v>
      </c>
      <c r="S5" s="884">
        <v>0</v>
      </c>
      <c r="T5" s="884">
        <f>R5</f>
        <v>5821595.6347710323</v>
      </c>
      <c r="U5" s="884">
        <v>0</v>
      </c>
      <c r="V5" s="884"/>
      <c r="W5" s="901"/>
      <c r="X5" s="877"/>
      <c r="Y5" s="624"/>
      <c r="Z5" s="624"/>
      <c r="AA5" s="624"/>
      <c r="AB5" s="624"/>
      <c r="AC5" s="624"/>
      <c r="AD5" s="624"/>
      <c r="AE5" s="624"/>
      <c r="AF5" s="624"/>
      <c r="AG5" s="624"/>
      <c r="AH5" s="624"/>
      <c r="AI5" s="624"/>
      <c r="AJ5" s="624"/>
      <c r="AK5" s="624"/>
      <c r="AL5" s="624"/>
      <c r="AM5" s="624"/>
      <c r="AN5" s="624"/>
      <c r="AO5" s="624"/>
      <c r="AP5" s="624"/>
      <c r="AQ5" s="624"/>
      <c r="AR5" s="624"/>
      <c r="AS5" s="624"/>
      <c r="AT5" s="624"/>
      <c r="AU5" s="624"/>
      <c r="AV5" s="624"/>
      <c r="AW5" s="624"/>
      <c r="AX5" s="624"/>
      <c r="AY5" s="624"/>
      <c r="AZ5" s="624"/>
    </row>
    <row r="6" spans="1:52" s="679" customFormat="1">
      <c r="A6" s="916"/>
      <c r="B6" s="915"/>
      <c r="C6" s="918"/>
      <c r="D6" s="942"/>
      <c r="E6" s="663" t="s">
        <v>283</v>
      </c>
      <c r="F6" s="680" t="s">
        <v>177</v>
      </c>
      <c r="G6" s="678">
        <f t="shared" si="2"/>
        <v>4</v>
      </c>
      <c r="H6" s="663" t="s">
        <v>335</v>
      </c>
      <c r="I6" s="884">
        <v>16270</v>
      </c>
      <c r="J6" s="884">
        <f t="shared" si="1"/>
        <v>27.718770650830095</v>
      </c>
      <c r="K6" s="884">
        <v>450984.39848900563</v>
      </c>
      <c r="L6" s="884">
        <v>152750.26104553489</v>
      </c>
      <c r="M6" s="884">
        <v>113174.47409810098</v>
      </c>
      <c r="N6" s="884">
        <v>59288.076980831276</v>
      </c>
      <c r="O6" s="884">
        <v>50102.572180500378</v>
      </c>
      <c r="P6" s="884">
        <v>75669.014184038126</v>
      </c>
      <c r="Q6" s="884">
        <v>0</v>
      </c>
      <c r="R6" s="884">
        <f t="shared" si="0"/>
        <v>450984.39848900563</v>
      </c>
      <c r="S6" s="884">
        <v>0</v>
      </c>
      <c r="T6" s="884">
        <f>R6</f>
        <v>450984.39848900563</v>
      </c>
      <c r="U6" s="884">
        <v>0</v>
      </c>
      <c r="V6" s="884"/>
      <c r="W6" s="877"/>
      <c r="X6" s="877"/>
      <c r="Y6" s="624"/>
      <c r="Z6" s="624"/>
      <c r="AA6" s="624"/>
      <c r="AB6" s="624"/>
      <c r="AC6" s="624"/>
      <c r="AD6" s="624"/>
      <c r="AE6" s="624"/>
      <c r="AF6" s="624"/>
      <c r="AG6" s="624"/>
      <c r="AH6" s="624"/>
      <c r="AI6" s="624"/>
      <c r="AJ6" s="624"/>
      <c r="AK6" s="624"/>
      <c r="AL6" s="624"/>
      <c r="AM6" s="624"/>
      <c r="AN6" s="624"/>
      <c r="AO6" s="624"/>
      <c r="AP6" s="624"/>
      <c r="AQ6" s="624"/>
      <c r="AR6" s="624"/>
      <c r="AS6" s="624"/>
      <c r="AT6" s="624"/>
      <c r="AU6" s="624"/>
      <c r="AV6" s="624"/>
      <c r="AW6" s="624"/>
      <c r="AX6" s="624"/>
      <c r="AY6" s="624"/>
      <c r="AZ6" s="624"/>
    </row>
    <row r="7" spans="1:52">
      <c r="A7" s="916"/>
      <c r="B7" s="915"/>
      <c r="C7" s="917" t="s">
        <v>248</v>
      </c>
      <c r="D7" s="913" t="s">
        <v>136</v>
      </c>
      <c r="E7" s="795" t="s">
        <v>282</v>
      </c>
      <c r="F7" s="667" t="s">
        <v>196</v>
      </c>
      <c r="G7" s="678">
        <f t="shared" si="2"/>
        <v>5</v>
      </c>
      <c r="H7" s="660" t="s">
        <v>335</v>
      </c>
      <c r="I7" s="889">
        <v>8100</v>
      </c>
      <c r="J7" s="889">
        <f t="shared" si="1"/>
        <v>528.84141719759089</v>
      </c>
      <c r="K7" s="889">
        <v>4283615.4793004859</v>
      </c>
      <c r="L7" s="889">
        <v>95281.114142720035</v>
      </c>
      <c r="M7" s="889">
        <v>792252.4222145892</v>
      </c>
      <c r="N7" s="889">
        <v>859558.58294395986</v>
      </c>
      <c r="O7" s="889">
        <v>873873.28593928996</v>
      </c>
      <c r="P7" s="889">
        <v>837773.39665006299</v>
      </c>
      <c r="Q7" s="889">
        <v>824876.67740986426</v>
      </c>
      <c r="R7" s="889">
        <f t="shared" si="0"/>
        <v>4283615.4793004859</v>
      </c>
      <c r="S7" s="889">
        <v>0</v>
      </c>
      <c r="T7" s="889"/>
      <c r="U7" s="889">
        <f t="shared" ref="U7:U15" si="3">(R7)</f>
        <v>4283615.4793004859</v>
      </c>
      <c r="V7" s="889"/>
      <c r="W7" s="877"/>
      <c r="X7" s="877"/>
    </row>
    <row r="8" spans="1:52" s="679" customFormat="1">
      <c r="A8" s="916"/>
      <c r="B8" s="915"/>
      <c r="C8" s="916"/>
      <c r="D8" s="931"/>
      <c r="E8" s="795" t="s">
        <v>282</v>
      </c>
      <c r="F8" s="665" t="s">
        <v>177</v>
      </c>
      <c r="G8" s="678">
        <f t="shared" si="2"/>
        <v>6</v>
      </c>
      <c r="H8" s="660" t="s">
        <v>335</v>
      </c>
      <c r="I8" s="889">
        <v>8100</v>
      </c>
      <c r="J8" s="889">
        <f t="shared" si="1"/>
        <v>93.064680013808726</v>
      </c>
      <c r="K8" s="889">
        <v>753823.90811185073</v>
      </c>
      <c r="L8" s="889">
        <v>16814.314260480001</v>
      </c>
      <c r="M8" s="889">
        <v>139809.25097904514</v>
      </c>
      <c r="N8" s="889">
        <v>154627.98522540502</v>
      </c>
      <c r="O8" s="889">
        <v>157083.52104810998</v>
      </c>
      <c r="P8" s="889">
        <v>139922.364114717</v>
      </c>
      <c r="Q8" s="889">
        <v>145566.47248409368</v>
      </c>
      <c r="R8" s="889">
        <f t="shared" si="0"/>
        <v>753823.90811185073</v>
      </c>
      <c r="S8" s="889">
        <v>0</v>
      </c>
      <c r="T8" s="889"/>
      <c r="U8" s="889">
        <f t="shared" si="3"/>
        <v>753823.90811185073</v>
      </c>
      <c r="V8" s="889"/>
      <c r="W8" s="900"/>
      <c r="X8" s="900"/>
      <c r="Y8" s="624"/>
      <c r="Z8" s="624"/>
      <c r="AA8" s="624"/>
      <c r="AB8" s="624"/>
      <c r="AC8" s="624"/>
      <c r="AD8" s="624"/>
      <c r="AE8" s="624"/>
      <c r="AF8" s="624"/>
      <c r="AG8" s="624"/>
      <c r="AH8" s="624"/>
      <c r="AI8" s="624"/>
      <c r="AJ8" s="624"/>
      <c r="AK8" s="624"/>
      <c r="AL8" s="624"/>
      <c r="AM8" s="624"/>
      <c r="AN8" s="624"/>
      <c r="AO8" s="624"/>
      <c r="AP8" s="624"/>
      <c r="AQ8" s="624"/>
      <c r="AR8" s="624"/>
      <c r="AS8" s="624"/>
      <c r="AT8" s="624"/>
      <c r="AU8" s="624"/>
      <c r="AV8" s="624"/>
      <c r="AW8" s="624"/>
      <c r="AX8" s="624"/>
      <c r="AY8" s="624"/>
      <c r="AZ8" s="624"/>
    </row>
    <row r="9" spans="1:52" s="679" customFormat="1">
      <c r="A9" s="916"/>
      <c r="B9" s="915"/>
      <c r="C9" s="916"/>
      <c r="D9" s="931"/>
      <c r="E9" s="795" t="s">
        <v>282</v>
      </c>
      <c r="F9" s="665" t="s">
        <v>177</v>
      </c>
      <c r="G9" s="678">
        <f t="shared" si="2"/>
        <v>7</v>
      </c>
      <c r="H9" s="660" t="s">
        <v>322</v>
      </c>
      <c r="I9" s="889">
        <v>30</v>
      </c>
      <c r="J9" s="889">
        <f t="shared" si="1"/>
        <v>3332.9989634928106</v>
      </c>
      <c r="K9" s="889">
        <v>99989.968904784313</v>
      </c>
      <c r="L9" s="889">
        <v>10818.033072</v>
      </c>
      <c r="M9" s="889">
        <v>21895.698937728001</v>
      </c>
      <c r="N9" s="889">
        <v>22158.447324980749</v>
      </c>
      <c r="O9" s="889">
        <v>22424.3486928805</v>
      </c>
      <c r="P9" s="889">
        <v>22693.440877195051</v>
      </c>
      <c r="Q9" s="889">
        <v>0</v>
      </c>
      <c r="R9" s="889">
        <f t="shared" si="0"/>
        <v>99989.968904784313</v>
      </c>
      <c r="S9" s="889">
        <v>0</v>
      </c>
      <c r="T9" s="889"/>
      <c r="U9" s="889">
        <f t="shared" si="3"/>
        <v>99989.968904784313</v>
      </c>
      <c r="V9" s="889"/>
      <c r="W9" s="877"/>
      <c r="X9" s="877"/>
      <c r="Y9" s="624"/>
      <c r="Z9" s="624"/>
      <c r="AA9" s="624"/>
      <c r="AB9" s="624"/>
      <c r="AC9" s="624"/>
      <c r="AD9" s="624"/>
      <c r="AE9" s="624"/>
      <c r="AF9" s="624"/>
      <c r="AG9" s="624"/>
      <c r="AH9" s="624"/>
      <c r="AI9" s="624"/>
      <c r="AJ9" s="624"/>
      <c r="AK9" s="624"/>
      <c r="AL9" s="624"/>
      <c r="AM9" s="624"/>
      <c r="AN9" s="624"/>
      <c r="AO9" s="624"/>
      <c r="AP9" s="624"/>
      <c r="AQ9" s="624"/>
      <c r="AR9" s="624"/>
      <c r="AS9" s="624"/>
      <c r="AT9" s="624"/>
      <c r="AU9" s="624"/>
      <c r="AV9" s="624"/>
      <c r="AW9" s="624"/>
      <c r="AX9" s="624"/>
      <c r="AY9" s="624"/>
      <c r="AZ9" s="624"/>
    </row>
    <row r="10" spans="1:52" s="679" customFormat="1">
      <c r="A10" s="916"/>
      <c r="B10" s="915"/>
      <c r="C10" s="918"/>
      <c r="D10" s="914"/>
      <c r="E10" s="795" t="s">
        <v>282</v>
      </c>
      <c r="F10" s="665" t="s">
        <v>169</v>
      </c>
      <c r="G10" s="678">
        <f t="shared" si="2"/>
        <v>8</v>
      </c>
      <c r="H10" s="660" t="s">
        <v>322</v>
      </c>
      <c r="I10" s="889">
        <v>30</v>
      </c>
      <c r="J10" s="889">
        <f t="shared" si="1"/>
        <v>6685.5048879233809</v>
      </c>
      <c r="K10" s="889">
        <v>200565.14663770143</v>
      </c>
      <c r="L10" s="889">
        <v>30933.068618583427</v>
      </c>
      <c r="M10" s="889">
        <v>42010.734484311426</v>
      </c>
      <c r="N10" s="889">
        <v>42273.482871564127</v>
      </c>
      <c r="O10" s="889">
        <v>42539.384239463929</v>
      </c>
      <c r="P10" s="889">
        <v>42808.476423778528</v>
      </c>
      <c r="Q10" s="889">
        <v>0</v>
      </c>
      <c r="R10" s="889">
        <f t="shared" si="0"/>
        <v>200565.14663770143</v>
      </c>
      <c r="S10" s="889">
        <v>0</v>
      </c>
      <c r="T10" s="889"/>
      <c r="U10" s="889">
        <f t="shared" si="3"/>
        <v>200565.14663770143</v>
      </c>
      <c r="V10" s="889"/>
      <c r="W10" s="900"/>
      <c r="X10" s="900"/>
      <c r="Y10" s="624"/>
      <c r="Z10" s="624"/>
      <c r="AA10" s="624"/>
      <c r="AB10" s="624"/>
      <c r="AC10" s="624"/>
      <c r="AD10" s="624"/>
      <c r="AE10" s="624"/>
      <c r="AF10" s="624"/>
      <c r="AG10" s="624"/>
      <c r="AH10" s="624"/>
      <c r="AI10" s="624"/>
      <c r="AJ10" s="624"/>
      <c r="AK10" s="624"/>
      <c r="AL10" s="624"/>
      <c r="AM10" s="624"/>
      <c r="AN10" s="624"/>
      <c r="AO10" s="624"/>
      <c r="AP10" s="624"/>
      <c r="AQ10" s="624"/>
      <c r="AR10" s="624"/>
      <c r="AS10" s="624"/>
      <c r="AT10" s="624"/>
      <c r="AU10" s="624"/>
      <c r="AV10" s="624"/>
      <c r="AW10" s="624"/>
      <c r="AX10" s="624"/>
      <c r="AY10" s="624"/>
      <c r="AZ10" s="624"/>
    </row>
    <row r="11" spans="1:52" s="662" customFormat="1">
      <c r="A11" s="916"/>
      <c r="B11" s="915"/>
      <c r="C11" s="929" t="s">
        <v>242</v>
      </c>
      <c r="D11" s="913" t="s">
        <v>136</v>
      </c>
      <c r="E11" s="795" t="s">
        <v>282</v>
      </c>
      <c r="F11" s="665" t="s">
        <v>169</v>
      </c>
      <c r="G11" s="678">
        <f t="shared" si="2"/>
        <v>9</v>
      </c>
      <c r="H11" s="660" t="s">
        <v>312</v>
      </c>
      <c r="I11" s="889">
        <v>60</v>
      </c>
      <c r="J11" s="889">
        <f t="shared" si="1"/>
        <v>2219.9811877454686</v>
      </c>
      <c r="K11" s="889">
        <v>133198.87126472811</v>
      </c>
      <c r="L11" s="889">
        <v>20440.660866632854</v>
      </c>
      <c r="M11" s="889">
        <v>21548.303818541975</v>
      </c>
      <c r="N11" s="889">
        <v>21605.733108898643</v>
      </c>
      <c r="O11" s="889">
        <v>21663.851550739593</v>
      </c>
      <c r="P11" s="889">
        <v>23927.173099095864</v>
      </c>
      <c r="Q11" s="889">
        <v>24013.148820819184</v>
      </c>
      <c r="R11" s="889">
        <f t="shared" si="0"/>
        <v>133198.87126472811</v>
      </c>
      <c r="S11" s="889">
        <v>0</v>
      </c>
      <c r="T11" s="889"/>
      <c r="U11" s="889">
        <f t="shared" si="3"/>
        <v>133198.87126472811</v>
      </c>
      <c r="V11" s="889"/>
      <c r="W11" s="900"/>
      <c r="X11" s="900"/>
      <c r="Y11" s="624"/>
      <c r="Z11" s="624"/>
      <c r="AA11" s="624"/>
      <c r="AB11" s="624"/>
      <c r="AC11" s="624"/>
      <c r="AD11" s="624"/>
      <c r="AE11" s="624"/>
      <c r="AF11" s="624"/>
      <c r="AG11" s="624"/>
      <c r="AH11" s="624"/>
      <c r="AI11" s="624"/>
      <c r="AJ11" s="624"/>
      <c r="AK11" s="624"/>
      <c r="AL11" s="624"/>
      <c r="AM11" s="624"/>
      <c r="AN11" s="624"/>
      <c r="AO11" s="624"/>
      <c r="AP11" s="624"/>
      <c r="AQ11" s="624"/>
      <c r="AR11" s="624"/>
      <c r="AS11" s="624"/>
      <c r="AT11" s="624"/>
      <c r="AU11" s="624"/>
      <c r="AV11" s="624"/>
      <c r="AW11" s="624"/>
      <c r="AX11" s="624"/>
      <c r="AY11" s="624"/>
      <c r="AZ11" s="624"/>
    </row>
    <row r="12" spans="1:52">
      <c r="A12" s="916"/>
      <c r="B12" s="915"/>
      <c r="C12" s="929"/>
      <c r="D12" s="931"/>
      <c r="E12" s="795" t="s">
        <v>282</v>
      </c>
      <c r="F12" s="665" t="s">
        <v>173</v>
      </c>
      <c r="G12" s="678">
        <f t="shared" si="2"/>
        <v>10</v>
      </c>
      <c r="H12" s="660" t="s">
        <v>312</v>
      </c>
      <c r="I12" s="889">
        <v>60</v>
      </c>
      <c r="J12" s="889">
        <f t="shared" si="1"/>
        <v>724.97096737357776</v>
      </c>
      <c r="K12" s="889">
        <v>43498.258042414665</v>
      </c>
      <c r="L12" s="889">
        <v>4904.1749926400016</v>
      </c>
      <c r="M12" s="889">
        <v>6381.0322618521614</v>
      </c>
      <c r="N12" s="889">
        <v>6457.6046489943874</v>
      </c>
      <c r="O12" s="889">
        <v>6535.0959047823198</v>
      </c>
      <c r="P12" s="889">
        <v>9552.8579692573512</v>
      </c>
      <c r="Q12" s="889">
        <v>9667.492264888444</v>
      </c>
      <c r="R12" s="889">
        <f t="shared" si="0"/>
        <v>43498.258042414665</v>
      </c>
      <c r="S12" s="889">
        <v>0</v>
      </c>
      <c r="T12" s="889"/>
      <c r="U12" s="889">
        <f t="shared" si="3"/>
        <v>43498.258042414665</v>
      </c>
      <c r="V12" s="889"/>
      <c r="W12" s="877"/>
      <c r="X12" s="877"/>
    </row>
    <row r="13" spans="1:52" s="679" customFormat="1">
      <c r="A13" s="916"/>
      <c r="B13" s="915"/>
      <c r="C13" s="929"/>
      <c r="D13" s="931"/>
      <c r="E13" s="795" t="s">
        <v>282</v>
      </c>
      <c r="F13" s="665" t="s">
        <v>161</v>
      </c>
      <c r="G13" s="678">
        <f t="shared" si="2"/>
        <v>11</v>
      </c>
      <c r="H13" s="660" t="s">
        <v>312</v>
      </c>
      <c r="I13" s="889">
        <v>60</v>
      </c>
      <c r="J13" s="889">
        <f t="shared" si="1"/>
        <v>543.72822553018318</v>
      </c>
      <c r="K13" s="889">
        <v>32623.693531810994</v>
      </c>
      <c r="L13" s="889">
        <v>3678.1312444800001</v>
      </c>
      <c r="M13" s="889">
        <v>4785.7741963891212</v>
      </c>
      <c r="N13" s="889">
        <v>4843.2034867457896</v>
      </c>
      <c r="O13" s="889">
        <v>4901.321928586739</v>
      </c>
      <c r="P13" s="889">
        <v>7164.6434769430134</v>
      </c>
      <c r="Q13" s="889">
        <v>7250.6191986663334</v>
      </c>
      <c r="R13" s="889">
        <f t="shared" si="0"/>
        <v>32623.693531810994</v>
      </c>
      <c r="S13" s="889">
        <v>0</v>
      </c>
      <c r="T13" s="889"/>
      <c r="U13" s="889">
        <f t="shared" si="3"/>
        <v>32623.693531810994</v>
      </c>
      <c r="V13" s="889"/>
      <c r="W13" s="877"/>
      <c r="X13" s="877"/>
      <c r="Y13" s="624"/>
      <c r="Z13" s="624"/>
      <c r="AA13" s="624"/>
      <c r="AB13" s="624"/>
      <c r="AC13" s="624"/>
      <c r="AD13" s="624"/>
      <c r="AE13" s="624"/>
      <c r="AF13" s="624"/>
      <c r="AG13" s="624"/>
      <c r="AH13" s="624"/>
      <c r="AI13" s="624"/>
      <c r="AJ13" s="624"/>
      <c r="AK13" s="624"/>
      <c r="AL13" s="624"/>
      <c r="AM13" s="624"/>
      <c r="AN13" s="624"/>
      <c r="AO13" s="624"/>
      <c r="AP13" s="624"/>
      <c r="AQ13" s="624"/>
      <c r="AR13" s="624"/>
      <c r="AS13" s="624"/>
      <c r="AT13" s="624"/>
      <c r="AU13" s="624"/>
      <c r="AV13" s="624"/>
      <c r="AW13" s="624"/>
      <c r="AX13" s="624"/>
      <c r="AY13" s="624"/>
      <c r="AZ13" s="624"/>
    </row>
    <row r="14" spans="1:52">
      <c r="A14" s="916"/>
      <c r="B14" s="915"/>
      <c r="C14" s="929" t="s">
        <v>239</v>
      </c>
      <c r="D14" s="913" t="s">
        <v>136</v>
      </c>
      <c r="E14" s="795" t="s">
        <v>282</v>
      </c>
      <c r="F14" s="667" t="s">
        <v>196</v>
      </c>
      <c r="G14" s="678">
        <f t="shared" si="2"/>
        <v>12</v>
      </c>
      <c r="H14" s="660" t="s">
        <v>312</v>
      </c>
      <c r="I14" s="889">
        <v>150</v>
      </c>
      <c r="J14" s="889">
        <f t="shared" si="1"/>
        <v>23070.340196942107</v>
      </c>
      <c r="K14" s="889">
        <v>3460551.029541316</v>
      </c>
      <c r="L14" s="889">
        <v>102462.22752480001</v>
      </c>
      <c r="M14" s="889">
        <v>933225.96829587861</v>
      </c>
      <c r="N14" s="889">
        <v>1469105.0576462231</v>
      </c>
      <c r="O14" s="889">
        <v>955757.77607441426</v>
      </c>
      <c r="P14" s="889">
        <v>0</v>
      </c>
      <c r="Q14" s="889">
        <v>0</v>
      </c>
      <c r="R14" s="889">
        <f t="shared" si="0"/>
        <v>3460551.029541316</v>
      </c>
      <c r="S14" s="889">
        <v>0</v>
      </c>
      <c r="T14" s="889"/>
      <c r="U14" s="889">
        <f t="shared" si="3"/>
        <v>3460551.029541316</v>
      </c>
      <c r="V14" s="889"/>
      <c r="W14" s="877"/>
      <c r="X14" s="877"/>
    </row>
    <row r="15" spans="1:52" s="679" customFormat="1">
      <c r="A15" s="916"/>
      <c r="B15" s="941"/>
      <c r="C15" s="929"/>
      <c r="D15" s="914"/>
      <c r="E15" s="795" t="s">
        <v>282</v>
      </c>
      <c r="F15" s="665" t="s">
        <v>177</v>
      </c>
      <c r="G15" s="678">
        <f t="shared" si="2"/>
        <v>13</v>
      </c>
      <c r="H15" s="660" t="s">
        <v>312</v>
      </c>
      <c r="I15" s="889">
        <v>150</v>
      </c>
      <c r="J15" s="889">
        <f t="shared" si="1"/>
        <v>4071.2365053427252</v>
      </c>
      <c r="K15" s="889">
        <v>610685.47580140876</v>
      </c>
      <c r="L15" s="889">
        <v>18081.569563200002</v>
      </c>
      <c r="M15" s="889">
        <v>164686.93558162564</v>
      </c>
      <c r="N15" s="889">
        <v>259253.83370227469</v>
      </c>
      <c r="O15" s="889">
        <v>168663.13695430837</v>
      </c>
      <c r="P15" s="889">
        <v>0</v>
      </c>
      <c r="Q15" s="889">
        <v>0</v>
      </c>
      <c r="R15" s="889">
        <f t="shared" si="0"/>
        <v>610685.47580140876</v>
      </c>
      <c r="S15" s="889">
        <v>0</v>
      </c>
      <c r="T15" s="889"/>
      <c r="U15" s="889">
        <f t="shared" si="3"/>
        <v>610685.47580140876</v>
      </c>
      <c r="V15" s="889"/>
      <c r="W15" s="879" t="s">
        <v>301</v>
      </c>
      <c r="X15" s="879" t="s">
        <v>300</v>
      </c>
      <c r="Y15" s="624"/>
      <c r="Z15" s="624"/>
      <c r="AA15" s="624"/>
      <c r="AB15" s="624"/>
      <c r="AC15" s="624"/>
      <c r="AD15" s="624"/>
      <c r="AE15" s="624"/>
      <c r="AF15" s="624"/>
      <c r="AG15" s="624"/>
      <c r="AH15" s="624"/>
      <c r="AI15" s="624"/>
      <c r="AJ15" s="624"/>
      <c r="AK15" s="624"/>
      <c r="AL15" s="624"/>
      <c r="AM15" s="624"/>
      <c r="AN15" s="624"/>
      <c r="AO15" s="624"/>
      <c r="AP15" s="624"/>
      <c r="AQ15" s="624"/>
      <c r="AR15" s="624"/>
      <c r="AS15" s="624"/>
      <c r="AT15" s="624"/>
      <c r="AU15" s="624"/>
      <c r="AV15" s="624"/>
      <c r="AW15" s="624"/>
      <c r="AX15" s="624"/>
      <c r="AY15" s="624"/>
      <c r="AZ15" s="624"/>
    </row>
    <row r="16" spans="1:52" s="672" customFormat="1">
      <c r="A16" s="916"/>
      <c r="B16" s="935" t="s">
        <v>334</v>
      </c>
      <c r="C16" s="936"/>
      <c r="D16" s="676"/>
      <c r="E16" s="683"/>
      <c r="F16" s="686"/>
      <c r="G16" s="684"/>
      <c r="H16" s="684"/>
      <c r="I16" s="895"/>
      <c r="J16" s="895"/>
      <c r="K16" s="895">
        <f t="shared" ref="K16:Q16" si="4">SUM(K2:K15)</f>
        <v>31070594.282635465</v>
      </c>
      <c r="L16" s="895">
        <f t="shared" si="4"/>
        <v>2728867.5807934757</v>
      </c>
      <c r="M16" s="895">
        <f t="shared" si="4"/>
        <v>8005231.0675972309</v>
      </c>
      <c r="N16" s="895">
        <f t="shared" si="4"/>
        <v>8166601.4758729422</v>
      </c>
      <c r="O16" s="895">
        <f t="shared" si="4"/>
        <v>6530153.5885844743</v>
      </c>
      <c r="P16" s="895">
        <f t="shared" si="4"/>
        <v>4598366.1596090104</v>
      </c>
      <c r="Q16" s="895">
        <f t="shared" si="4"/>
        <v>1041374.4101783319</v>
      </c>
      <c r="R16" s="895">
        <f t="shared" si="0"/>
        <v>31070594.282635465</v>
      </c>
      <c r="S16" s="895">
        <f>SUM(S2:S15)</f>
        <v>12747705.377349295</v>
      </c>
      <c r="T16" s="895">
        <f>SUM(T2:T15)</f>
        <v>6272580.0332600381</v>
      </c>
      <c r="U16" s="895">
        <f>SUM(U2:U15)</f>
        <v>12050308.872026131</v>
      </c>
      <c r="V16" s="895"/>
      <c r="W16" s="877">
        <f>S16+U16</f>
        <v>24798014.249375425</v>
      </c>
      <c r="X16" s="877">
        <f>T16+V16</f>
        <v>6272580.0332600381</v>
      </c>
      <c r="Y16" s="624"/>
    </row>
    <row r="17" spans="1:25" ht="45">
      <c r="A17" s="916"/>
      <c r="B17" s="917" t="s">
        <v>237</v>
      </c>
      <c r="C17" s="794" t="s">
        <v>236</v>
      </c>
      <c r="D17" s="661" t="s">
        <v>136</v>
      </c>
      <c r="E17" s="795" t="s">
        <v>282</v>
      </c>
      <c r="F17" s="665" t="s">
        <v>160</v>
      </c>
      <c r="G17" s="678">
        <f>G15+1</f>
        <v>14</v>
      </c>
      <c r="H17" s="660" t="s">
        <v>333</v>
      </c>
      <c r="I17" s="889">
        <v>6</v>
      </c>
      <c r="J17" s="889">
        <f t="shared" ref="J17:J25" si="5">(K17/I17)</f>
        <v>30000</v>
      </c>
      <c r="K17" s="889">
        <v>180000</v>
      </c>
      <c r="L17" s="889">
        <v>180000</v>
      </c>
      <c r="M17" s="889">
        <v>0</v>
      </c>
      <c r="N17" s="889">
        <v>0</v>
      </c>
      <c r="O17" s="889">
        <v>0</v>
      </c>
      <c r="P17" s="889">
        <v>0</v>
      </c>
      <c r="Q17" s="889">
        <v>0</v>
      </c>
      <c r="R17" s="889">
        <f t="shared" si="0"/>
        <v>180000</v>
      </c>
      <c r="S17" s="889">
        <v>0</v>
      </c>
      <c r="T17" s="889"/>
      <c r="U17" s="889">
        <f>(R17)</f>
        <v>180000</v>
      </c>
      <c r="V17" s="889"/>
      <c r="W17" s="877"/>
      <c r="X17" s="877"/>
    </row>
    <row r="18" spans="1:25" ht="30" customHeight="1">
      <c r="A18" s="916"/>
      <c r="B18" s="916"/>
      <c r="C18" s="794" t="s">
        <v>234</v>
      </c>
      <c r="D18" s="661" t="s">
        <v>136</v>
      </c>
      <c r="E18" s="660" t="s">
        <v>282</v>
      </c>
      <c r="F18" s="665" t="s">
        <v>169</v>
      </c>
      <c r="G18" s="678">
        <v>15</v>
      </c>
      <c r="H18" s="665" t="s">
        <v>308</v>
      </c>
      <c r="I18" s="889">
        <v>5</v>
      </c>
      <c r="J18" s="889">
        <f t="shared" si="5"/>
        <v>88000</v>
      </c>
      <c r="K18" s="889">
        <v>440000</v>
      </c>
      <c r="L18" s="889">
        <v>0</v>
      </c>
      <c r="M18" s="889">
        <v>88000</v>
      </c>
      <c r="N18" s="889">
        <v>88000</v>
      </c>
      <c r="O18" s="889">
        <v>88000</v>
      </c>
      <c r="P18" s="889">
        <v>88000</v>
      </c>
      <c r="Q18" s="889">
        <v>88000</v>
      </c>
      <c r="R18" s="889">
        <f t="shared" si="0"/>
        <v>440000</v>
      </c>
      <c r="S18" s="889">
        <v>0</v>
      </c>
      <c r="T18" s="889"/>
      <c r="U18" s="889">
        <f>(R18)</f>
        <v>440000</v>
      </c>
      <c r="V18" s="889"/>
      <c r="W18" s="879"/>
      <c r="X18" s="879"/>
    </row>
    <row r="19" spans="1:25">
      <c r="A19" s="916"/>
      <c r="B19" s="916"/>
      <c r="C19" s="916" t="s">
        <v>457</v>
      </c>
      <c r="D19" s="913" t="s">
        <v>136</v>
      </c>
      <c r="E19" s="795" t="s">
        <v>282</v>
      </c>
      <c r="F19" s="665" t="s">
        <v>177</v>
      </c>
      <c r="G19" s="678">
        <v>16</v>
      </c>
      <c r="H19" s="665" t="s">
        <v>308</v>
      </c>
      <c r="I19" s="889">
        <v>5</v>
      </c>
      <c r="J19" s="889">
        <f t="shared" si="5"/>
        <v>132115</v>
      </c>
      <c r="K19" s="889">
        <v>660575</v>
      </c>
      <c r="L19" s="889">
        <v>0</v>
      </c>
      <c r="M19" s="889">
        <v>132115</v>
      </c>
      <c r="N19" s="889">
        <v>132115</v>
      </c>
      <c r="O19" s="889">
        <v>132115</v>
      </c>
      <c r="P19" s="889">
        <v>132115</v>
      </c>
      <c r="Q19" s="889">
        <v>132115</v>
      </c>
      <c r="R19" s="889">
        <f t="shared" si="0"/>
        <v>660575</v>
      </c>
      <c r="S19" s="889"/>
      <c r="T19" s="889"/>
      <c r="U19" s="889">
        <f>(R19)</f>
        <v>660575</v>
      </c>
      <c r="V19" s="889"/>
      <c r="W19" s="879"/>
      <c r="X19" s="879"/>
    </row>
    <row r="20" spans="1:25" ht="30">
      <c r="A20" s="916"/>
      <c r="B20" s="916"/>
      <c r="C20" s="916"/>
      <c r="D20" s="931"/>
      <c r="E20" s="795" t="s">
        <v>282</v>
      </c>
      <c r="F20" s="667" t="s">
        <v>223</v>
      </c>
      <c r="G20" s="678">
        <v>17</v>
      </c>
      <c r="H20" s="795" t="s">
        <v>331</v>
      </c>
      <c r="I20" s="893">
        <v>11</v>
      </c>
      <c r="J20" s="889">
        <f t="shared" si="5"/>
        <v>20018.18181818182</v>
      </c>
      <c r="K20" s="889">
        <v>220200</v>
      </c>
      <c r="L20" s="889">
        <v>20000</v>
      </c>
      <c r="M20" s="889">
        <v>50000</v>
      </c>
      <c r="N20" s="889">
        <v>50000</v>
      </c>
      <c r="O20" s="889">
        <v>50000</v>
      </c>
      <c r="P20" s="889">
        <v>50200</v>
      </c>
      <c r="Q20" s="889">
        <v>0</v>
      </c>
      <c r="R20" s="889">
        <f t="shared" si="0"/>
        <v>220200</v>
      </c>
      <c r="S20" s="889">
        <v>0</v>
      </c>
      <c r="T20" s="889"/>
      <c r="U20" s="889">
        <f>(R20)</f>
        <v>220200</v>
      </c>
      <c r="V20" s="889"/>
      <c r="W20" s="879"/>
      <c r="X20" s="879"/>
    </row>
    <row r="21" spans="1:25">
      <c r="A21" s="916"/>
      <c r="B21" s="916"/>
      <c r="C21" s="916"/>
      <c r="D21" s="931"/>
      <c r="E21" s="795" t="s">
        <v>283</v>
      </c>
      <c r="F21" s="667" t="s">
        <v>221</v>
      </c>
      <c r="G21" s="678">
        <f t="shared" ref="G21:G30" si="6">G20+1</f>
        <v>18</v>
      </c>
      <c r="H21" s="795" t="s">
        <v>308</v>
      </c>
      <c r="I21" s="893">
        <v>1</v>
      </c>
      <c r="J21" s="889">
        <f t="shared" si="5"/>
        <v>68000</v>
      </c>
      <c r="K21" s="889">
        <v>68000</v>
      </c>
      <c r="L21" s="889">
        <v>68000</v>
      </c>
      <c r="M21" s="889">
        <v>0</v>
      </c>
      <c r="N21" s="889">
        <v>0</v>
      </c>
      <c r="O21" s="889">
        <v>0</v>
      </c>
      <c r="P21" s="889">
        <v>0</v>
      </c>
      <c r="Q21" s="889">
        <v>0</v>
      </c>
      <c r="R21" s="889">
        <f t="shared" si="0"/>
        <v>68000</v>
      </c>
      <c r="S21" s="889">
        <f>R21</f>
        <v>68000</v>
      </c>
      <c r="T21" s="889"/>
      <c r="U21" s="889"/>
      <c r="V21" s="889"/>
      <c r="W21" s="879"/>
      <c r="X21" s="879"/>
    </row>
    <row r="22" spans="1:25" ht="30">
      <c r="A22" s="916"/>
      <c r="B22" s="916"/>
      <c r="C22" s="916"/>
      <c r="D22" s="931"/>
      <c r="E22" s="795" t="s">
        <v>282</v>
      </c>
      <c r="F22" s="667" t="s">
        <v>220</v>
      </c>
      <c r="G22" s="678">
        <f t="shared" si="6"/>
        <v>19</v>
      </c>
      <c r="H22" s="795" t="s">
        <v>308</v>
      </c>
      <c r="I22" s="893">
        <v>1</v>
      </c>
      <c r="J22" s="889">
        <f t="shared" si="5"/>
        <v>12000</v>
      </c>
      <c r="K22" s="889">
        <v>12000</v>
      </c>
      <c r="L22" s="889">
        <v>12000</v>
      </c>
      <c r="M22" s="889">
        <v>0</v>
      </c>
      <c r="N22" s="889">
        <v>0</v>
      </c>
      <c r="O22" s="889">
        <v>0</v>
      </c>
      <c r="P22" s="889">
        <v>0</v>
      </c>
      <c r="Q22" s="889">
        <v>0</v>
      </c>
      <c r="R22" s="889">
        <f t="shared" si="0"/>
        <v>12000</v>
      </c>
      <c r="S22" s="889">
        <v>0</v>
      </c>
      <c r="T22" s="889"/>
      <c r="U22" s="889">
        <f>(R22)</f>
        <v>12000</v>
      </c>
      <c r="V22" s="889"/>
      <c r="W22" s="879"/>
      <c r="X22" s="879"/>
    </row>
    <row r="23" spans="1:25" ht="30">
      <c r="A23" s="916"/>
      <c r="B23" s="916"/>
      <c r="C23" s="916"/>
      <c r="D23" s="931"/>
      <c r="E23" s="795" t="s">
        <v>282</v>
      </c>
      <c r="F23" s="667" t="s">
        <v>330</v>
      </c>
      <c r="G23" s="678">
        <f t="shared" si="6"/>
        <v>20</v>
      </c>
      <c r="H23" s="795" t="s">
        <v>308</v>
      </c>
      <c r="I23" s="893">
        <v>1</v>
      </c>
      <c r="J23" s="889">
        <f t="shared" si="5"/>
        <v>182380</v>
      </c>
      <c r="K23" s="889">
        <v>182380</v>
      </c>
      <c r="L23" s="889">
        <f>K23*30/100</f>
        <v>54714</v>
      </c>
      <c r="M23" s="889">
        <v>0</v>
      </c>
      <c r="N23" s="889">
        <v>0</v>
      </c>
      <c r="O23" s="889">
        <v>0</v>
      </c>
      <c r="P23" s="889">
        <v>0</v>
      </c>
      <c r="Q23" s="889">
        <f>K23-L23</f>
        <v>127666</v>
      </c>
      <c r="R23" s="889">
        <f t="shared" si="0"/>
        <v>182380</v>
      </c>
      <c r="S23" s="889"/>
      <c r="T23" s="889"/>
      <c r="U23" s="889">
        <f>(R23)</f>
        <v>182380</v>
      </c>
      <c r="V23" s="889"/>
      <c r="W23" s="879"/>
      <c r="X23" s="879"/>
    </row>
    <row r="24" spans="1:25">
      <c r="A24" s="916"/>
      <c r="B24" s="916"/>
      <c r="C24" s="916"/>
      <c r="D24" s="931"/>
      <c r="E24" s="795" t="s">
        <v>282</v>
      </c>
      <c r="F24" s="667" t="s">
        <v>231</v>
      </c>
      <c r="G24" s="678">
        <f t="shared" si="6"/>
        <v>21</v>
      </c>
      <c r="H24" s="795" t="s">
        <v>332</v>
      </c>
      <c r="I24" s="893">
        <v>45000</v>
      </c>
      <c r="J24" s="889">
        <f t="shared" si="5"/>
        <v>25.850192463080017</v>
      </c>
      <c r="K24" s="889">
        <v>1163258.6608386007</v>
      </c>
      <c r="L24" s="889">
        <v>344824.80417000013</v>
      </c>
      <c r="M24" s="889">
        <v>465283.60242672003</v>
      </c>
      <c r="N24" s="889">
        <v>353150.2542418805</v>
      </c>
      <c r="O24" s="889">
        <v>0</v>
      </c>
      <c r="P24" s="889">
        <v>0</v>
      </c>
      <c r="Q24" s="889">
        <v>0</v>
      </c>
      <c r="R24" s="889">
        <f t="shared" si="0"/>
        <v>1163258.6608386007</v>
      </c>
      <c r="S24" s="889">
        <v>0</v>
      </c>
      <c r="T24" s="889"/>
      <c r="U24" s="889">
        <f>(R24)</f>
        <v>1163258.6608386007</v>
      </c>
      <c r="V24" s="889"/>
      <c r="W24" s="879"/>
      <c r="X24" s="879"/>
    </row>
    <row r="25" spans="1:25">
      <c r="A25" s="916"/>
      <c r="B25" s="916"/>
      <c r="C25" s="916"/>
      <c r="D25" s="931"/>
      <c r="E25" s="795" t="s">
        <v>282</v>
      </c>
      <c r="F25" s="667" t="s">
        <v>228</v>
      </c>
      <c r="G25" s="678">
        <f t="shared" si="6"/>
        <v>22</v>
      </c>
      <c r="H25" s="795" t="s">
        <v>332</v>
      </c>
      <c r="I25" s="893">
        <v>45000</v>
      </c>
      <c r="J25" s="889">
        <f t="shared" si="5"/>
        <v>120.36120154715894</v>
      </c>
      <c r="K25" s="889">
        <v>5416254.0696221525</v>
      </c>
      <c r="L25" s="889">
        <v>406505.06962215283</v>
      </c>
      <c r="M25" s="889">
        <v>1001949.8</v>
      </c>
      <c r="N25" s="889">
        <v>1001949.8</v>
      </c>
      <c r="O25" s="889">
        <v>1001949.8</v>
      </c>
      <c r="P25" s="889">
        <v>1001949.8</v>
      </c>
      <c r="Q25" s="889">
        <v>1001949.8</v>
      </c>
      <c r="R25" s="889">
        <f t="shared" si="0"/>
        <v>5416254.0696221525</v>
      </c>
      <c r="S25" s="889">
        <v>0</v>
      </c>
      <c r="T25" s="889"/>
      <c r="U25" s="889">
        <f>(R25)</f>
        <v>5416254.0696221525</v>
      </c>
      <c r="V25" s="889"/>
      <c r="W25" s="879"/>
      <c r="X25" s="879"/>
    </row>
    <row r="26" spans="1:25">
      <c r="A26" s="916"/>
      <c r="B26" s="916"/>
      <c r="C26" s="916"/>
      <c r="D26" s="914"/>
      <c r="E26" s="795" t="s">
        <v>282</v>
      </c>
      <c r="F26" s="667" t="s">
        <v>226</v>
      </c>
      <c r="G26" s="678">
        <f t="shared" si="6"/>
        <v>23</v>
      </c>
      <c r="H26" s="795" t="s">
        <v>332</v>
      </c>
      <c r="I26" s="893">
        <v>45000</v>
      </c>
      <c r="J26" s="889">
        <v>214.55642222222221</v>
      </c>
      <c r="K26" s="889">
        <v>9655039</v>
      </c>
      <c r="L26" s="889">
        <f>721974.7848204-30000</f>
        <v>691974.78482039995</v>
      </c>
      <c r="M26" s="889">
        <f>1821380.16877825-30000</f>
        <v>1791380.16877825</v>
      </c>
      <c r="N26" s="889">
        <f>1931257.3033389-30000</f>
        <v>1901257.3033389</v>
      </c>
      <c r="O26" s="889">
        <f>1794103.86583024-30000</f>
        <v>1764103.8658302401</v>
      </c>
      <c r="P26" s="889">
        <f>1795660.7563252-30000</f>
        <v>1765660.7563252</v>
      </c>
      <c r="Q26" s="889">
        <f>1770661.66185488-30000+0.459052130579948</f>
        <v>1740662.1209070105</v>
      </c>
      <c r="R26" s="889">
        <f t="shared" si="0"/>
        <v>9655039</v>
      </c>
      <c r="S26" s="889">
        <v>0</v>
      </c>
      <c r="T26" s="889"/>
      <c r="U26" s="889">
        <f>(R26)</f>
        <v>9655039</v>
      </c>
      <c r="V26" s="889"/>
      <c r="W26" s="899"/>
      <c r="X26" s="879"/>
    </row>
    <row r="27" spans="1:25" ht="35.25" customHeight="1">
      <c r="A27" s="916"/>
      <c r="B27" s="916"/>
      <c r="C27" s="916"/>
      <c r="D27" s="943" t="s">
        <v>306</v>
      </c>
      <c r="E27" s="663" t="s">
        <v>283</v>
      </c>
      <c r="F27" s="680" t="s">
        <v>216</v>
      </c>
      <c r="G27" s="678">
        <f t="shared" si="6"/>
        <v>24</v>
      </c>
      <c r="H27" s="663" t="s">
        <v>321</v>
      </c>
      <c r="I27" s="884">
        <v>260000</v>
      </c>
      <c r="J27" s="884">
        <f>(K27/I27)</f>
        <v>168.76121611230241</v>
      </c>
      <c r="K27" s="884">
        <v>43877916.189198628</v>
      </c>
      <c r="L27" s="884">
        <v>7267099.310039754</v>
      </c>
      <c r="M27" s="884">
        <v>7475320.0706516802</v>
      </c>
      <c r="N27" s="884">
        <v>7453778.0592860617</v>
      </c>
      <c r="O27" s="884">
        <v>7269748.1781272963</v>
      </c>
      <c r="P27" s="884">
        <v>7238044.4177273503</v>
      </c>
      <c r="Q27" s="884">
        <v>7173926.1533664837</v>
      </c>
      <c r="R27" s="884">
        <f t="shared" si="0"/>
        <v>43877916.189198628</v>
      </c>
      <c r="S27" s="884">
        <v>0</v>
      </c>
      <c r="T27" s="884">
        <f>R27</f>
        <v>43877916.189198628</v>
      </c>
      <c r="U27" s="884"/>
      <c r="V27" s="884"/>
      <c r="W27" s="879"/>
      <c r="X27" s="879"/>
    </row>
    <row r="28" spans="1:25" ht="30">
      <c r="A28" s="916"/>
      <c r="B28" s="916"/>
      <c r="C28" s="918"/>
      <c r="D28" s="944"/>
      <c r="E28" s="663" t="s">
        <v>282</v>
      </c>
      <c r="F28" s="680" t="s">
        <v>213</v>
      </c>
      <c r="G28" s="678">
        <f t="shared" si="6"/>
        <v>25</v>
      </c>
      <c r="H28" s="663" t="s">
        <v>321</v>
      </c>
      <c r="I28" s="884">
        <v>260000</v>
      </c>
      <c r="J28" s="884">
        <f>(K28/I28)</f>
        <v>47.077495068793667</v>
      </c>
      <c r="K28" s="884">
        <v>12240148.717886353</v>
      </c>
      <c r="L28" s="884">
        <v>2124888.4844095828</v>
      </c>
      <c r="M28" s="884">
        <v>2163248.8335098564</v>
      </c>
      <c r="N28" s="884">
        <v>2159280.1654775296</v>
      </c>
      <c r="O28" s="884">
        <v>2125376.4833212197</v>
      </c>
      <c r="P28" s="884">
        <v>2119535.7241521571</v>
      </c>
      <c r="Q28" s="884">
        <v>1547819.0270160057</v>
      </c>
      <c r="R28" s="884">
        <f t="shared" si="0"/>
        <v>12240148.717886351</v>
      </c>
      <c r="S28" s="884">
        <v>0</v>
      </c>
      <c r="T28" s="884"/>
      <c r="U28" s="884"/>
      <c r="V28" s="884">
        <f>R28</f>
        <v>12240148.717886351</v>
      </c>
      <c r="W28" s="879"/>
      <c r="X28" s="879"/>
    </row>
    <row r="29" spans="1:25" ht="30">
      <c r="A29" s="916"/>
      <c r="B29" s="916"/>
      <c r="C29" s="917" t="s">
        <v>225</v>
      </c>
      <c r="D29" s="913" t="s">
        <v>136</v>
      </c>
      <c r="E29" s="795" t="s">
        <v>282</v>
      </c>
      <c r="F29" s="667" t="s">
        <v>160</v>
      </c>
      <c r="G29" s="678">
        <f t="shared" si="6"/>
        <v>26</v>
      </c>
      <c r="H29" s="795" t="s">
        <v>321</v>
      </c>
      <c r="I29" s="893">
        <v>2500</v>
      </c>
      <c r="J29" s="889">
        <f>(K29/I29)</f>
        <v>348.39342285858777</v>
      </c>
      <c r="K29" s="889">
        <v>870983.55714646936</v>
      </c>
      <c r="L29" s="889">
        <v>0</v>
      </c>
      <c r="M29" s="889">
        <v>170397.84955519997</v>
      </c>
      <c r="N29" s="889">
        <v>172274.6237498624</v>
      </c>
      <c r="O29" s="889">
        <v>174173.91923486078</v>
      </c>
      <c r="P29" s="889">
        <v>176096.00626567905</v>
      </c>
      <c r="Q29" s="889">
        <v>178041.1583408672</v>
      </c>
      <c r="R29" s="889">
        <f t="shared" si="0"/>
        <v>870983.55714646936</v>
      </c>
      <c r="S29" s="889">
        <v>0</v>
      </c>
      <c r="T29" s="889"/>
      <c r="U29" s="889">
        <f>(R29)</f>
        <v>870983.55714646936</v>
      </c>
      <c r="V29" s="889"/>
      <c r="W29" s="879"/>
      <c r="X29" s="879"/>
    </row>
    <row r="30" spans="1:25" ht="30">
      <c r="A30" s="916"/>
      <c r="B30" s="916"/>
      <c r="C30" s="916"/>
      <c r="D30" s="931"/>
      <c r="E30" s="795" t="s">
        <v>282</v>
      </c>
      <c r="F30" s="667" t="s">
        <v>177</v>
      </c>
      <c r="G30" s="678">
        <f t="shared" si="6"/>
        <v>27</v>
      </c>
      <c r="H30" s="795" t="s">
        <v>321</v>
      </c>
      <c r="I30" s="893">
        <v>2500</v>
      </c>
      <c r="J30" s="889">
        <f>(K30/I30)</f>
        <v>233.60761523905853</v>
      </c>
      <c r="K30" s="889">
        <v>584019.03809764632</v>
      </c>
      <c r="L30" s="889">
        <v>0</v>
      </c>
      <c r="M30" s="889">
        <v>114265.2330368</v>
      </c>
      <c r="N30" s="889">
        <v>115516.41583324161</v>
      </c>
      <c r="O30" s="889">
        <v>116782.61282324055</v>
      </c>
      <c r="P30" s="889">
        <v>118064.00417711938</v>
      </c>
      <c r="Q30" s="889">
        <v>119390.77222724483</v>
      </c>
      <c r="R30" s="889">
        <f t="shared" si="0"/>
        <v>584019.03809764632</v>
      </c>
      <c r="S30" s="889">
        <v>0</v>
      </c>
      <c r="T30" s="889"/>
      <c r="U30" s="889">
        <f>(R30)</f>
        <v>584019.03809764632</v>
      </c>
      <c r="V30" s="889"/>
      <c r="W30" s="879" t="s">
        <v>301</v>
      </c>
      <c r="X30" s="879" t="s">
        <v>300</v>
      </c>
    </row>
    <row r="31" spans="1:25" s="672" customFormat="1" ht="15.75" thickBot="1">
      <c r="A31" s="918"/>
      <c r="B31" s="940" t="s">
        <v>329</v>
      </c>
      <c r="C31" s="936"/>
      <c r="D31" s="898"/>
      <c r="E31" s="683"/>
      <c r="F31" s="685"/>
      <c r="G31" s="684"/>
      <c r="H31" s="683"/>
      <c r="I31" s="896"/>
      <c r="J31" s="897"/>
      <c r="K31" s="896">
        <f t="shared" ref="K31:Q31" si="7">SUM(K17:K30)</f>
        <v>75570774.232789859</v>
      </c>
      <c r="L31" s="896">
        <f t="shared" si="7"/>
        <v>11170006.45306189</v>
      </c>
      <c r="M31" s="896">
        <f t="shared" si="7"/>
        <v>13451960.557958506</v>
      </c>
      <c r="N31" s="896">
        <f t="shared" si="7"/>
        <v>13427321.621927476</v>
      </c>
      <c r="O31" s="896">
        <f t="shared" si="7"/>
        <v>12722249.859336857</v>
      </c>
      <c r="P31" s="896">
        <f t="shared" si="7"/>
        <v>12689665.708647506</v>
      </c>
      <c r="Q31" s="896">
        <f t="shared" si="7"/>
        <v>12109570.031857612</v>
      </c>
      <c r="R31" s="896">
        <f t="shared" si="0"/>
        <v>75570774.232789844</v>
      </c>
      <c r="S31" s="896">
        <f>SUM(S17:S30)</f>
        <v>68000</v>
      </c>
      <c r="T31" s="896">
        <f>SUM(T17:T30)</f>
        <v>43877916.189198628</v>
      </c>
      <c r="U31" s="896">
        <f>SUM(U17:U30)</f>
        <v>19384709.325704873</v>
      </c>
      <c r="V31" s="896">
        <f>SUM(V17:V30)</f>
        <v>12240148.717886351</v>
      </c>
      <c r="W31" s="877">
        <f>S31+U31</f>
        <v>19452709.325704873</v>
      </c>
      <c r="X31" s="877">
        <f>T31+V31</f>
        <v>56118064.907084979</v>
      </c>
      <c r="Y31" s="624"/>
    </row>
    <row r="32" spans="1:25" s="672" customFormat="1" ht="15.75" thickBot="1">
      <c r="A32" s="937" t="s">
        <v>328</v>
      </c>
      <c r="B32" s="938"/>
      <c r="C32" s="939"/>
      <c r="D32" s="671"/>
      <c r="E32" s="671"/>
      <c r="F32" s="670"/>
      <c r="G32" s="670"/>
      <c r="H32" s="669"/>
      <c r="I32" s="887"/>
      <c r="J32" s="669"/>
      <c r="K32" s="887">
        <f t="shared" ref="K32:Q32" si="8">K31+K16</f>
        <v>106641368.51542532</v>
      </c>
      <c r="L32" s="887">
        <f t="shared" si="8"/>
        <v>13898874.033855366</v>
      </c>
      <c r="M32" s="887">
        <f t="shared" si="8"/>
        <v>21457191.625555739</v>
      </c>
      <c r="N32" s="887">
        <f t="shared" si="8"/>
        <v>21593923.097800419</v>
      </c>
      <c r="O32" s="887">
        <f t="shared" si="8"/>
        <v>19252403.447921332</v>
      </c>
      <c r="P32" s="887">
        <f t="shared" si="8"/>
        <v>17288031.868256517</v>
      </c>
      <c r="Q32" s="887">
        <f t="shared" si="8"/>
        <v>13150944.442035943</v>
      </c>
      <c r="R32" s="887">
        <f t="shared" si="0"/>
        <v>106641368.51542532</v>
      </c>
      <c r="S32" s="887">
        <f>S31+S16</f>
        <v>12815705.377349295</v>
      </c>
      <c r="T32" s="887">
        <f>T31+T16</f>
        <v>50150496.222458668</v>
      </c>
      <c r="U32" s="887">
        <f>U31+U16</f>
        <v>31435018.197731003</v>
      </c>
      <c r="V32" s="887">
        <f>V31+V16</f>
        <v>12240148.717886351</v>
      </c>
      <c r="W32" s="877">
        <f>S32+U32</f>
        <v>44250723.575080298</v>
      </c>
      <c r="X32" s="877">
        <f>T32+V32</f>
        <v>62390644.940345019</v>
      </c>
      <c r="Y32" s="624"/>
    </row>
    <row r="33" spans="1:52" ht="15" customHeight="1">
      <c r="A33" s="917" t="s">
        <v>210</v>
      </c>
      <c r="B33" s="917" t="s">
        <v>209</v>
      </c>
      <c r="C33" s="917" t="s">
        <v>208</v>
      </c>
      <c r="D33" s="934" t="s">
        <v>136</v>
      </c>
      <c r="E33" s="660" t="s">
        <v>282</v>
      </c>
      <c r="F33" s="667" t="s">
        <v>206</v>
      </c>
      <c r="G33" s="658">
        <v>28</v>
      </c>
      <c r="H33" s="795" t="s">
        <v>327</v>
      </c>
      <c r="I33" s="893">
        <v>540</v>
      </c>
      <c r="J33" s="893">
        <f>(K33/I33)</f>
        <v>5341.9836171083698</v>
      </c>
      <c r="K33" s="893">
        <v>2884671.1532385196</v>
      </c>
      <c r="L33" s="893">
        <v>178275.83974877899</v>
      </c>
      <c r="M33" s="893">
        <v>519093.76947729196</v>
      </c>
      <c r="N33" s="893">
        <v>525192.33471101965</v>
      </c>
      <c r="O33" s="893">
        <v>695484.08272755169</v>
      </c>
      <c r="P33" s="893">
        <v>613941.57643356861</v>
      </c>
      <c r="Q33" s="893">
        <v>352683.55014030862</v>
      </c>
      <c r="R33" s="893">
        <f t="shared" si="0"/>
        <v>2884671.1532385196</v>
      </c>
      <c r="S33" s="893">
        <v>0</v>
      </c>
      <c r="T33" s="893"/>
      <c r="U33" s="893">
        <f>R33</f>
        <v>2884671.1532385196</v>
      </c>
      <c r="V33" s="893"/>
      <c r="W33" s="877"/>
      <c r="X33" s="877"/>
    </row>
    <row r="34" spans="1:52" s="679" customFormat="1">
      <c r="A34" s="916"/>
      <c r="B34" s="916"/>
      <c r="C34" s="916"/>
      <c r="D34" s="931"/>
      <c r="E34" s="660" t="s">
        <v>282</v>
      </c>
      <c r="F34" s="665" t="s">
        <v>161</v>
      </c>
      <c r="G34" s="658">
        <v>29</v>
      </c>
      <c r="H34" s="660" t="s">
        <v>327</v>
      </c>
      <c r="I34" s="893">
        <v>540</v>
      </c>
      <c r="J34" s="893">
        <f>(K34/I34)</f>
        <v>942.46769713677099</v>
      </c>
      <c r="K34" s="893">
        <v>508932.55645385635</v>
      </c>
      <c r="L34" s="893">
        <v>31460.44230860801</v>
      </c>
      <c r="M34" s="893">
        <v>91604.782848933886</v>
      </c>
      <c r="N34" s="893">
        <v>92681.000243121118</v>
      </c>
      <c r="O34" s="893">
        <v>121850.13224603854</v>
      </c>
      <c r="P34" s="893">
        <v>108460.27819415915</v>
      </c>
      <c r="Q34" s="893">
        <v>62875.920612995644</v>
      </c>
      <c r="R34" s="893">
        <f t="shared" ref="R34:R65" si="9">L34+M34+N34+O34+P34+Q34</f>
        <v>508932.55645385635</v>
      </c>
      <c r="S34" s="893">
        <v>0</v>
      </c>
      <c r="T34" s="893"/>
      <c r="U34" s="893">
        <f>R34</f>
        <v>508932.55645385635</v>
      </c>
      <c r="V34" s="893"/>
      <c r="W34" s="877"/>
      <c r="X34" s="877"/>
      <c r="Y34" s="624"/>
      <c r="Z34" s="624"/>
      <c r="AA34" s="624"/>
      <c r="AB34" s="624"/>
      <c r="AC34" s="624"/>
      <c r="AD34" s="624"/>
      <c r="AE34" s="624"/>
      <c r="AF34" s="624"/>
      <c r="AG34" s="624"/>
      <c r="AH34" s="624"/>
      <c r="AI34" s="624"/>
      <c r="AJ34" s="624"/>
      <c r="AK34" s="624"/>
      <c r="AL34" s="624"/>
      <c r="AM34" s="624"/>
      <c r="AN34" s="624"/>
      <c r="AO34" s="624"/>
      <c r="AP34" s="624"/>
      <c r="AQ34" s="624"/>
      <c r="AR34" s="624"/>
      <c r="AS34" s="624"/>
      <c r="AT34" s="624"/>
      <c r="AU34" s="624"/>
      <c r="AV34" s="624"/>
      <c r="AW34" s="624"/>
      <c r="AX34" s="624"/>
      <c r="AY34" s="624"/>
      <c r="AZ34" s="624"/>
    </row>
    <row r="35" spans="1:52">
      <c r="A35" s="916"/>
      <c r="B35" s="916"/>
      <c r="C35" s="916"/>
      <c r="D35" s="932" t="s">
        <v>306</v>
      </c>
      <c r="E35" s="663" t="s">
        <v>283</v>
      </c>
      <c r="F35" s="680" t="s">
        <v>196</v>
      </c>
      <c r="G35" s="658">
        <f>G34+1</f>
        <v>30</v>
      </c>
      <c r="H35" s="663" t="s">
        <v>327</v>
      </c>
      <c r="I35" s="884">
        <v>550</v>
      </c>
      <c r="J35" s="884">
        <f>(K35/I35)</f>
        <v>12480.919185453437</v>
      </c>
      <c r="K35" s="884">
        <v>6864505.5519993901</v>
      </c>
      <c r="L35" s="884">
        <v>1213700.4912413177</v>
      </c>
      <c r="M35" s="884">
        <v>1285203.8649981839</v>
      </c>
      <c r="N35" s="884">
        <v>1305156.752073358</v>
      </c>
      <c r="O35" s="884">
        <v>1263814.0900912008</v>
      </c>
      <c r="P35" s="884">
        <v>1383243.8105061157</v>
      </c>
      <c r="Q35" s="884">
        <v>413386.5430892171</v>
      </c>
      <c r="R35" s="884">
        <f t="shared" si="9"/>
        <v>6864505.5519993929</v>
      </c>
      <c r="S35" s="884">
        <v>0</v>
      </c>
      <c r="T35" s="884">
        <f>R35</f>
        <v>6864505.5519993929</v>
      </c>
      <c r="U35" s="884"/>
      <c r="V35" s="884">
        <v>0</v>
      </c>
      <c r="W35" s="877"/>
      <c r="X35" s="877"/>
    </row>
    <row r="36" spans="1:52" s="679" customFormat="1">
      <c r="A36" s="916"/>
      <c r="B36" s="918"/>
      <c r="C36" s="918"/>
      <c r="D36" s="933"/>
      <c r="E36" s="663" t="s">
        <v>283</v>
      </c>
      <c r="F36" s="680" t="s">
        <v>177</v>
      </c>
      <c r="G36" s="658">
        <f>G35+1</f>
        <v>31</v>
      </c>
      <c r="H36" s="663" t="s">
        <v>327</v>
      </c>
      <c r="I36" s="884">
        <v>550</v>
      </c>
      <c r="J36" s="884">
        <f>(K36/I36)</f>
        <v>1924.678247876624</v>
      </c>
      <c r="K36" s="884">
        <v>1058573.0363321432</v>
      </c>
      <c r="L36" s="884">
        <v>154729.70588141412</v>
      </c>
      <c r="M36" s="884">
        <v>295261.82481197902</v>
      </c>
      <c r="N36" s="884">
        <v>239753.1952929892</v>
      </c>
      <c r="O36" s="884">
        <v>106564.05215837539</v>
      </c>
      <c r="P36" s="884">
        <v>135593.6528978819</v>
      </c>
      <c r="Q36" s="884">
        <v>126670.6052895038</v>
      </c>
      <c r="R36" s="884">
        <f t="shared" si="9"/>
        <v>1058573.0363321435</v>
      </c>
      <c r="S36" s="884">
        <v>0</v>
      </c>
      <c r="T36" s="884">
        <f>R36</f>
        <v>1058573.0363321435</v>
      </c>
      <c r="U36" s="884"/>
      <c r="V36" s="884">
        <v>0</v>
      </c>
      <c r="W36" s="879" t="s">
        <v>301</v>
      </c>
      <c r="X36" s="879" t="s">
        <v>300</v>
      </c>
      <c r="Y36" s="624"/>
      <c r="Z36" s="624"/>
      <c r="AA36" s="624"/>
      <c r="AB36" s="624"/>
      <c r="AC36" s="624"/>
      <c r="AD36" s="624"/>
      <c r="AE36" s="624"/>
      <c r="AF36" s="624"/>
      <c r="AG36" s="624"/>
      <c r="AH36" s="624"/>
      <c r="AI36" s="624"/>
      <c r="AJ36" s="624"/>
      <c r="AK36" s="624"/>
      <c r="AL36" s="624"/>
      <c r="AM36" s="624"/>
      <c r="AN36" s="624"/>
      <c r="AO36" s="624"/>
      <c r="AP36" s="624"/>
      <c r="AQ36" s="624"/>
      <c r="AR36" s="624"/>
      <c r="AS36" s="624"/>
      <c r="AT36" s="624"/>
      <c r="AU36" s="624"/>
      <c r="AV36" s="624"/>
      <c r="AW36" s="624"/>
      <c r="AX36" s="624"/>
      <c r="AY36" s="624"/>
      <c r="AZ36" s="624"/>
    </row>
    <row r="37" spans="1:52" s="672" customFormat="1">
      <c r="A37" s="916"/>
      <c r="B37" s="925" t="s">
        <v>326</v>
      </c>
      <c r="C37" s="926"/>
      <c r="D37" s="676"/>
      <c r="E37" s="674"/>
      <c r="F37" s="682"/>
      <c r="G37" s="674"/>
      <c r="H37" s="674"/>
      <c r="I37" s="895"/>
      <c r="J37" s="894"/>
      <c r="K37" s="895">
        <f t="shared" ref="K37:Q37" si="10">SUM(K33:K36)</f>
        <v>11316682.298023909</v>
      </c>
      <c r="L37" s="895">
        <f t="shared" si="10"/>
        <v>1578166.479180119</v>
      </c>
      <c r="M37" s="895">
        <f t="shared" si="10"/>
        <v>2191164.242136389</v>
      </c>
      <c r="N37" s="895">
        <f t="shared" si="10"/>
        <v>2162783.2823204878</v>
      </c>
      <c r="O37" s="895">
        <f t="shared" si="10"/>
        <v>2187712.3572231662</v>
      </c>
      <c r="P37" s="895">
        <f t="shared" si="10"/>
        <v>2241239.318031725</v>
      </c>
      <c r="Q37" s="895">
        <f t="shared" si="10"/>
        <v>955616.61913202517</v>
      </c>
      <c r="R37" s="895">
        <f t="shared" si="9"/>
        <v>11316682.298023911</v>
      </c>
      <c r="S37" s="895">
        <f>SUM(S33:S36)</f>
        <v>0</v>
      </c>
      <c r="T37" s="895">
        <f>SUM(T33:T36)</f>
        <v>7923078.5883315364</v>
      </c>
      <c r="U37" s="895">
        <f>SUM(U33:U36)</f>
        <v>3393603.7096923757</v>
      </c>
      <c r="V37" s="894">
        <f>SUM(V33:V36)</f>
        <v>0</v>
      </c>
      <c r="W37" s="877">
        <f>S37+U37</f>
        <v>3393603.7096923757</v>
      </c>
      <c r="X37" s="877">
        <f>T37+V37</f>
        <v>7923078.5883315364</v>
      </c>
      <c r="Y37" s="624"/>
    </row>
    <row r="38" spans="1:52" s="679" customFormat="1" ht="30">
      <c r="A38" s="916"/>
      <c r="B38" s="794" t="s">
        <v>192</v>
      </c>
      <c r="C38" s="794" t="s">
        <v>191</v>
      </c>
      <c r="D38" s="661" t="s">
        <v>136</v>
      </c>
      <c r="E38" s="660" t="s">
        <v>282</v>
      </c>
      <c r="F38" s="660" t="s">
        <v>169</v>
      </c>
      <c r="G38" s="678">
        <f>G36+1</f>
        <v>32</v>
      </c>
      <c r="H38" s="660" t="s">
        <v>323</v>
      </c>
      <c r="I38" s="893">
        <v>2000</v>
      </c>
      <c r="J38" s="893">
        <f>(K38/I38)</f>
        <v>474.48805257800547</v>
      </c>
      <c r="K38" s="893">
        <v>948976.10515601095</v>
      </c>
      <c r="L38" s="893">
        <v>69196.600136499561</v>
      </c>
      <c r="M38" s="893">
        <v>169437.16770370887</v>
      </c>
      <c r="N38" s="893">
        <v>171230.86336068786</v>
      </c>
      <c r="O38" s="893">
        <v>169846.08336555088</v>
      </c>
      <c r="P38" s="893">
        <v>145862.99327908485</v>
      </c>
      <c r="Q38" s="893">
        <v>223402.39731047887</v>
      </c>
      <c r="R38" s="893">
        <f t="shared" si="9"/>
        <v>948976.10515601095</v>
      </c>
      <c r="S38" s="893">
        <v>0</v>
      </c>
      <c r="T38" s="893"/>
      <c r="U38" s="893">
        <f>(R38)</f>
        <v>948976.10515601095</v>
      </c>
      <c r="V38" s="893"/>
      <c r="W38" s="879" t="s">
        <v>301</v>
      </c>
      <c r="X38" s="879" t="s">
        <v>300</v>
      </c>
      <c r="Y38" s="624"/>
      <c r="Z38" s="624"/>
      <c r="AA38" s="624"/>
      <c r="AB38" s="624"/>
      <c r="AC38" s="624"/>
      <c r="AD38" s="624"/>
      <c r="AE38" s="624"/>
      <c r="AF38" s="624"/>
      <c r="AG38" s="624"/>
      <c r="AH38" s="624"/>
      <c r="AI38" s="624"/>
      <c r="AJ38" s="624"/>
      <c r="AK38" s="624"/>
      <c r="AL38" s="624"/>
      <c r="AM38" s="624"/>
      <c r="AN38" s="624"/>
      <c r="AO38" s="624"/>
      <c r="AP38" s="624"/>
      <c r="AQ38" s="624"/>
      <c r="AR38" s="624"/>
      <c r="AS38" s="624"/>
      <c r="AT38" s="624"/>
      <c r="AU38" s="624"/>
      <c r="AV38" s="624"/>
      <c r="AW38" s="624"/>
      <c r="AX38" s="624"/>
      <c r="AY38" s="624"/>
      <c r="AZ38" s="624"/>
    </row>
    <row r="39" spans="1:52" s="672" customFormat="1" ht="15.75" thickBot="1">
      <c r="A39" s="918"/>
      <c r="B39" s="940" t="s">
        <v>325</v>
      </c>
      <c r="C39" s="936"/>
      <c r="D39" s="676"/>
      <c r="E39" s="674"/>
      <c r="F39" s="674"/>
      <c r="G39" s="674"/>
      <c r="H39" s="674"/>
      <c r="I39" s="888"/>
      <c r="J39" s="892"/>
      <c r="K39" s="888">
        <f t="shared" ref="K39:Q39" si="11">K38</f>
        <v>948976.10515601095</v>
      </c>
      <c r="L39" s="888">
        <f t="shared" si="11"/>
        <v>69196.600136499561</v>
      </c>
      <c r="M39" s="888">
        <f t="shared" si="11"/>
        <v>169437.16770370887</v>
      </c>
      <c r="N39" s="888">
        <f t="shared" si="11"/>
        <v>171230.86336068786</v>
      </c>
      <c r="O39" s="888">
        <f t="shared" si="11"/>
        <v>169846.08336555088</v>
      </c>
      <c r="P39" s="888">
        <f t="shared" si="11"/>
        <v>145862.99327908485</v>
      </c>
      <c r="Q39" s="888">
        <f t="shared" si="11"/>
        <v>223402.39731047887</v>
      </c>
      <c r="R39" s="888">
        <f t="shared" si="9"/>
        <v>948976.10515601095</v>
      </c>
      <c r="S39" s="892">
        <f>S38</f>
        <v>0</v>
      </c>
      <c r="T39" s="892">
        <f>T38</f>
        <v>0</v>
      </c>
      <c r="U39" s="888">
        <f>U38</f>
        <v>948976.10515601095</v>
      </c>
      <c r="V39" s="892">
        <f>V38</f>
        <v>0</v>
      </c>
      <c r="W39" s="877">
        <f>S39+U39</f>
        <v>948976.10515601095</v>
      </c>
      <c r="X39" s="877">
        <f>T39+V39</f>
        <v>0</v>
      </c>
      <c r="Y39" s="624"/>
    </row>
    <row r="40" spans="1:52" ht="15.75" thickBot="1">
      <c r="A40" s="919" t="s">
        <v>324</v>
      </c>
      <c r="B40" s="920"/>
      <c r="C40" s="921"/>
      <c r="D40" s="671"/>
      <c r="E40" s="671"/>
      <c r="F40" s="670"/>
      <c r="G40" s="670"/>
      <c r="H40" s="669"/>
      <c r="I40" s="887"/>
      <c r="J40" s="669"/>
      <c r="K40" s="887">
        <f t="shared" ref="K40:Q40" si="12">K39+K37</f>
        <v>12265658.403179921</v>
      </c>
      <c r="L40" s="887">
        <f t="shared" si="12"/>
        <v>1647363.0793166186</v>
      </c>
      <c r="M40" s="887">
        <f t="shared" si="12"/>
        <v>2360601.4098400977</v>
      </c>
      <c r="N40" s="887">
        <f t="shared" si="12"/>
        <v>2334014.1456811754</v>
      </c>
      <c r="O40" s="887">
        <f t="shared" si="12"/>
        <v>2357558.4405887169</v>
      </c>
      <c r="P40" s="887">
        <f t="shared" si="12"/>
        <v>2387102.31131081</v>
      </c>
      <c r="Q40" s="887">
        <f t="shared" si="12"/>
        <v>1179019.016442504</v>
      </c>
      <c r="R40" s="887">
        <f t="shared" si="9"/>
        <v>12265658.403179921</v>
      </c>
      <c r="S40" s="887">
        <f>S39+S37</f>
        <v>0</v>
      </c>
      <c r="T40" s="887">
        <f>T39+T37</f>
        <v>7923078.5883315364</v>
      </c>
      <c r="U40" s="887">
        <f>U39+U37</f>
        <v>4342579.8148483867</v>
      </c>
      <c r="V40" s="887">
        <f>V37+V39</f>
        <v>0</v>
      </c>
      <c r="W40" s="877">
        <f>S40+U40</f>
        <v>4342579.8148483867</v>
      </c>
      <c r="X40" s="877">
        <f>T40+V40</f>
        <v>7923078.5883315364</v>
      </c>
    </row>
    <row r="41" spans="1:52">
      <c r="A41" s="917" t="s">
        <v>189</v>
      </c>
      <c r="B41" s="917" t="s">
        <v>188</v>
      </c>
      <c r="C41" s="917" t="s">
        <v>187</v>
      </c>
      <c r="D41" s="661" t="s">
        <v>136</v>
      </c>
      <c r="E41" s="660" t="s">
        <v>282</v>
      </c>
      <c r="F41" s="665" t="s">
        <v>169</v>
      </c>
      <c r="G41" s="678">
        <f>G38+1</f>
        <v>33</v>
      </c>
      <c r="H41" s="657" t="s">
        <v>323</v>
      </c>
      <c r="I41" s="889">
        <v>2000</v>
      </c>
      <c r="J41" s="889">
        <f t="shared" ref="J41:J49" si="13">(K41/I41)</f>
        <v>205.28758886645858</v>
      </c>
      <c r="K41" s="889">
        <v>410575.17773291713</v>
      </c>
      <c r="L41" s="889">
        <v>82115.035546583429</v>
      </c>
      <c r="M41" s="889">
        <v>82115.035546583429</v>
      </c>
      <c r="N41" s="889">
        <v>82115.035546583429</v>
      </c>
      <c r="O41" s="889">
        <v>82115.035546583429</v>
      </c>
      <c r="P41" s="889">
        <v>82115.035546583429</v>
      </c>
      <c r="Q41" s="889">
        <v>0</v>
      </c>
      <c r="R41" s="889">
        <f t="shared" si="9"/>
        <v>410575.17773291713</v>
      </c>
      <c r="S41" s="889">
        <v>0</v>
      </c>
      <c r="T41" s="889"/>
      <c r="U41" s="889">
        <f>(R41)</f>
        <v>410575.17773291713</v>
      </c>
      <c r="V41" s="889"/>
      <c r="W41" s="877"/>
      <c r="X41" s="877"/>
    </row>
    <row r="42" spans="1:52">
      <c r="A42" s="916"/>
      <c r="B42" s="916"/>
      <c r="C42" s="916"/>
      <c r="D42" s="661" t="s">
        <v>136</v>
      </c>
      <c r="E42" s="660" t="s">
        <v>282</v>
      </c>
      <c r="F42" s="665" t="s">
        <v>169</v>
      </c>
      <c r="G42" s="678">
        <f t="shared" ref="G42:G49" si="14">G41+1</f>
        <v>34</v>
      </c>
      <c r="H42" s="660" t="s">
        <v>322</v>
      </c>
      <c r="I42" s="889">
        <v>100</v>
      </c>
      <c r="J42" s="889">
        <f t="shared" si="13"/>
        <v>1537.1672329950586</v>
      </c>
      <c r="K42" s="889">
        <v>153716.72329950586</v>
      </c>
      <c r="L42" s="889">
        <v>17792.818486152853</v>
      </c>
      <c r="M42" s="889">
        <v>24061.095934728855</v>
      </c>
      <c r="N42" s="889">
        <v>31534.827838806657</v>
      </c>
      <c r="O42" s="889">
        <v>37051.226058568558</v>
      </c>
      <c r="P42" s="889">
        <v>24327.009914551203</v>
      </c>
      <c r="Q42" s="889">
        <v>18949.745066697746</v>
      </c>
      <c r="R42" s="889">
        <f t="shared" si="9"/>
        <v>153716.72329950586</v>
      </c>
      <c r="S42" s="889">
        <v>0</v>
      </c>
      <c r="T42" s="889"/>
      <c r="U42" s="889">
        <f>(R42)</f>
        <v>153716.72329950586</v>
      </c>
      <c r="V42" s="889"/>
      <c r="W42" s="877"/>
      <c r="X42" s="877"/>
    </row>
    <row r="43" spans="1:52">
      <c r="A43" s="916"/>
      <c r="B43" s="916"/>
      <c r="C43" s="916"/>
      <c r="D43" s="661" t="s">
        <v>136</v>
      </c>
      <c r="E43" s="660" t="s">
        <v>282</v>
      </c>
      <c r="F43" s="665" t="s">
        <v>161</v>
      </c>
      <c r="G43" s="678">
        <f t="shared" si="14"/>
        <v>35</v>
      </c>
      <c r="H43" s="660" t="s">
        <v>322</v>
      </c>
      <c r="I43" s="889">
        <v>100</v>
      </c>
      <c r="J43" s="889">
        <f t="shared" si="13"/>
        <v>531.41545566588798</v>
      </c>
      <c r="K43" s="889">
        <v>53141.5455665888</v>
      </c>
      <c r="L43" s="889">
        <v>1030.2888640000001</v>
      </c>
      <c r="M43" s="889">
        <v>7298.5663125760002</v>
      </c>
      <c r="N43" s="889">
        <v>14772.29821665385</v>
      </c>
      <c r="O43" s="889">
        <v>20288.696436415703</v>
      </c>
      <c r="P43" s="889">
        <v>7564.4802923983498</v>
      </c>
      <c r="Q43" s="889">
        <v>2187.2154445448946</v>
      </c>
      <c r="R43" s="889">
        <f t="shared" si="9"/>
        <v>53141.5455665888</v>
      </c>
      <c r="S43" s="889">
        <v>0</v>
      </c>
      <c r="T43" s="889"/>
      <c r="U43" s="889">
        <f>(R43)</f>
        <v>53141.5455665888</v>
      </c>
      <c r="V43" s="889"/>
      <c r="W43" s="877"/>
      <c r="X43" s="877"/>
    </row>
    <row r="44" spans="1:52" s="679" customFormat="1" ht="30">
      <c r="A44" s="916"/>
      <c r="B44" s="916"/>
      <c r="C44" s="916"/>
      <c r="D44" s="793" t="s">
        <v>306</v>
      </c>
      <c r="E44" s="663" t="s">
        <v>282</v>
      </c>
      <c r="F44" s="680" t="s">
        <v>177</v>
      </c>
      <c r="G44" s="678">
        <f t="shared" si="14"/>
        <v>36</v>
      </c>
      <c r="H44" s="663" t="s">
        <v>321</v>
      </c>
      <c r="I44" s="884">
        <v>70000</v>
      </c>
      <c r="J44" s="884">
        <f t="shared" si="13"/>
        <v>30.868413775474139</v>
      </c>
      <c r="K44" s="884">
        <v>2160788.9642831897</v>
      </c>
      <c r="L44" s="884">
        <v>259294.67571398275</v>
      </c>
      <c r="M44" s="884">
        <v>324118.34464247845</v>
      </c>
      <c r="N44" s="884">
        <v>388942.01357097417</v>
      </c>
      <c r="O44" s="884">
        <v>324118.34464247845</v>
      </c>
      <c r="P44" s="884">
        <v>432157.79285663797</v>
      </c>
      <c r="Q44" s="884">
        <v>432157.79285663797</v>
      </c>
      <c r="R44" s="884">
        <f t="shared" si="9"/>
        <v>2160788.9642831897</v>
      </c>
      <c r="S44" s="884">
        <v>0</v>
      </c>
      <c r="T44" s="884">
        <v>0</v>
      </c>
      <c r="U44" s="884"/>
      <c r="V44" s="884">
        <f>R44</f>
        <v>2160788.9642831897</v>
      </c>
      <c r="W44" s="681"/>
      <c r="X44" s="681"/>
      <c r="Y44" s="624"/>
      <c r="Z44" s="624"/>
      <c r="AA44" s="624"/>
      <c r="AB44" s="624"/>
      <c r="AC44" s="624"/>
      <c r="AD44" s="624"/>
      <c r="AE44" s="624"/>
      <c r="AF44" s="624"/>
      <c r="AG44" s="624"/>
      <c r="AH44" s="624"/>
      <c r="AI44" s="624"/>
      <c r="AJ44" s="624"/>
      <c r="AK44" s="624"/>
      <c r="AL44" s="624"/>
      <c r="AM44" s="624"/>
      <c r="AN44" s="624"/>
      <c r="AO44" s="624"/>
      <c r="AP44" s="624"/>
      <c r="AQ44" s="624"/>
      <c r="AR44" s="624"/>
      <c r="AS44" s="624"/>
      <c r="AT44" s="624"/>
      <c r="AU44" s="624"/>
      <c r="AV44" s="624"/>
      <c r="AW44" s="624"/>
      <c r="AX44" s="624"/>
      <c r="AY44" s="624"/>
      <c r="AZ44" s="624"/>
    </row>
    <row r="45" spans="1:52" s="679" customFormat="1" ht="28.5" customHeight="1">
      <c r="A45" s="916"/>
      <c r="B45" s="916"/>
      <c r="C45" s="918"/>
      <c r="D45" s="793" t="s">
        <v>306</v>
      </c>
      <c r="E45" s="663" t="s">
        <v>283</v>
      </c>
      <c r="F45" s="680" t="s">
        <v>177</v>
      </c>
      <c r="G45" s="678">
        <f t="shared" si="14"/>
        <v>37</v>
      </c>
      <c r="H45" s="663" t="s">
        <v>308</v>
      </c>
      <c r="I45" s="884">
        <v>1</v>
      </c>
      <c r="J45" s="884">
        <f t="shared" si="13"/>
        <v>1479323.2114750906</v>
      </c>
      <c r="K45" s="884">
        <v>1479323.2114750906</v>
      </c>
      <c r="L45" s="884">
        <v>177518.78537701088</v>
      </c>
      <c r="M45" s="884">
        <v>221898.48172126358</v>
      </c>
      <c r="N45" s="884">
        <v>266278.17806551629</v>
      </c>
      <c r="O45" s="884">
        <v>221898.48172126358</v>
      </c>
      <c r="P45" s="884">
        <v>295864.64229501813</v>
      </c>
      <c r="Q45" s="884">
        <v>295864.64229501813</v>
      </c>
      <c r="R45" s="884">
        <f t="shared" si="9"/>
        <v>1479323.2114750906</v>
      </c>
      <c r="S45" s="884">
        <v>0</v>
      </c>
      <c r="T45" s="884">
        <f>R45</f>
        <v>1479323.2114750906</v>
      </c>
      <c r="U45" s="884"/>
      <c r="V45" s="884">
        <v>0</v>
      </c>
      <c r="W45" s="877"/>
      <c r="X45" s="877"/>
      <c r="Y45" s="624"/>
      <c r="Z45" s="624"/>
      <c r="AA45" s="624"/>
      <c r="AB45" s="624"/>
      <c r="AC45" s="624"/>
      <c r="AD45" s="624"/>
      <c r="AE45" s="624"/>
      <c r="AF45" s="624"/>
      <c r="AG45" s="624"/>
      <c r="AH45" s="624"/>
      <c r="AI45" s="624"/>
      <c r="AJ45" s="624"/>
      <c r="AK45" s="624"/>
      <c r="AL45" s="624"/>
      <c r="AM45" s="624"/>
      <c r="AN45" s="624"/>
      <c r="AO45" s="624"/>
      <c r="AP45" s="624"/>
      <c r="AQ45" s="624"/>
      <c r="AR45" s="624"/>
      <c r="AS45" s="624"/>
      <c r="AT45" s="624"/>
      <c r="AU45" s="624"/>
      <c r="AV45" s="624"/>
      <c r="AW45" s="624"/>
      <c r="AX45" s="624"/>
      <c r="AY45" s="624"/>
      <c r="AZ45" s="624"/>
    </row>
    <row r="46" spans="1:52" s="662" customFormat="1" ht="30">
      <c r="A46" s="916"/>
      <c r="B46" s="916"/>
      <c r="C46" s="917" t="s">
        <v>320</v>
      </c>
      <c r="D46" s="661" t="s">
        <v>136</v>
      </c>
      <c r="E46" s="660" t="s">
        <v>282</v>
      </c>
      <c r="F46" s="665" t="s">
        <v>173</v>
      </c>
      <c r="G46" s="678">
        <f t="shared" si="14"/>
        <v>38</v>
      </c>
      <c r="H46" s="657" t="s">
        <v>319</v>
      </c>
      <c r="I46" s="889">
        <v>30</v>
      </c>
      <c r="J46" s="889">
        <f t="shared" si="13"/>
        <v>15646.666666666666</v>
      </c>
      <c r="K46" s="889">
        <v>469400</v>
      </c>
      <c r="L46" s="889">
        <v>95000</v>
      </c>
      <c r="M46" s="889">
        <v>140000</v>
      </c>
      <c r="N46" s="889">
        <v>140000</v>
      </c>
      <c r="O46" s="889">
        <v>94400</v>
      </c>
      <c r="P46" s="889">
        <v>0</v>
      </c>
      <c r="Q46" s="889">
        <v>0</v>
      </c>
      <c r="R46" s="889">
        <f t="shared" si="9"/>
        <v>469400</v>
      </c>
      <c r="S46" s="889">
        <v>0</v>
      </c>
      <c r="T46" s="889"/>
      <c r="U46" s="889">
        <f>R46</f>
        <v>469400</v>
      </c>
      <c r="V46" s="889"/>
      <c r="W46" s="877"/>
      <c r="X46" s="877"/>
      <c r="Y46" s="624"/>
      <c r="Z46" s="624"/>
      <c r="AA46" s="624"/>
      <c r="AB46" s="624"/>
      <c r="AC46" s="624"/>
      <c r="AD46" s="624"/>
      <c r="AE46" s="624"/>
      <c r="AF46" s="624"/>
      <c r="AG46" s="624"/>
      <c r="AH46" s="624"/>
      <c r="AI46" s="624"/>
      <c r="AJ46" s="624"/>
      <c r="AK46" s="624"/>
      <c r="AL46" s="624"/>
      <c r="AM46" s="624"/>
      <c r="AN46" s="624"/>
      <c r="AO46" s="624"/>
      <c r="AP46" s="624"/>
      <c r="AQ46" s="624"/>
      <c r="AR46" s="624"/>
      <c r="AS46" s="624"/>
      <c r="AT46" s="624"/>
      <c r="AU46" s="624"/>
      <c r="AV46" s="624"/>
      <c r="AW46" s="624"/>
      <c r="AX46" s="624"/>
      <c r="AY46" s="624"/>
      <c r="AZ46" s="624"/>
    </row>
    <row r="47" spans="1:52" s="662" customFormat="1">
      <c r="A47" s="916"/>
      <c r="B47" s="916"/>
      <c r="C47" s="918"/>
      <c r="D47" s="661" t="s">
        <v>136</v>
      </c>
      <c r="E47" s="660" t="s">
        <v>282</v>
      </c>
      <c r="F47" s="891" t="s">
        <v>161</v>
      </c>
      <c r="G47" s="678">
        <f t="shared" si="14"/>
        <v>39</v>
      </c>
      <c r="H47" s="890" t="s">
        <v>308</v>
      </c>
      <c r="I47" s="889">
        <v>3</v>
      </c>
      <c r="J47" s="889">
        <f t="shared" si="13"/>
        <v>164000</v>
      </c>
      <c r="K47" s="889">
        <v>492000</v>
      </c>
      <c r="L47" s="889">
        <v>196800</v>
      </c>
      <c r="M47" s="889">
        <v>196800</v>
      </c>
      <c r="N47" s="889">
        <v>98400</v>
      </c>
      <c r="O47" s="889">
        <v>0</v>
      </c>
      <c r="P47" s="889">
        <v>0</v>
      </c>
      <c r="Q47" s="889">
        <v>0</v>
      </c>
      <c r="R47" s="889">
        <f t="shared" si="9"/>
        <v>492000</v>
      </c>
      <c r="S47" s="889">
        <v>0</v>
      </c>
      <c r="T47" s="889"/>
      <c r="U47" s="889">
        <f>R47</f>
        <v>492000</v>
      </c>
      <c r="V47" s="889"/>
      <c r="W47" s="877"/>
      <c r="X47" s="877"/>
      <c r="Y47" s="624"/>
      <c r="Z47" s="624"/>
      <c r="AA47" s="624"/>
      <c r="AB47" s="624"/>
      <c r="AC47" s="624"/>
      <c r="AD47" s="624"/>
      <c r="AE47" s="624"/>
      <c r="AF47" s="624"/>
      <c r="AG47" s="624"/>
      <c r="AH47" s="624"/>
      <c r="AI47" s="624"/>
      <c r="AJ47" s="624"/>
      <c r="AK47" s="624"/>
      <c r="AL47" s="624"/>
      <c r="AM47" s="624"/>
      <c r="AN47" s="624"/>
      <c r="AO47" s="624"/>
      <c r="AP47" s="624"/>
      <c r="AQ47" s="624"/>
      <c r="AR47" s="624"/>
      <c r="AS47" s="624"/>
      <c r="AT47" s="624"/>
      <c r="AU47" s="624"/>
      <c r="AV47" s="624"/>
      <c r="AW47" s="624"/>
      <c r="AX47" s="624"/>
      <c r="AY47" s="624"/>
      <c r="AZ47" s="624"/>
    </row>
    <row r="48" spans="1:52" ht="30">
      <c r="A48" s="916"/>
      <c r="B48" s="916"/>
      <c r="C48" s="917" t="s">
        <v>318</v>
      </c>
      <c r="D48" s="913" t="s">
        <v>136</v>
      </c>
      <c r="E48" s="660" t="s">
        <v>282</v>
      </c>
      <c r="F48" s="677" t="s">
        <v>163</v>
      </c>
      <c r="G48" s="678">
        <f t="shared" si="14"/>
        <v>40</v>
      </c>
      <c r="H48" s="660" t="s">
        <v>317</v>
      </c>
      <c r="I48" s="889">
        <v>4</v>
      </c>
      <c r="J48" s="889">
        <f t="shared" si="13"/>
        <v>10000</v>
      </c>
      <c r="K48" s="889">
        <v>40000</v>
      </c>
      <c r="L48" s="889">
        <v>0</v>
      </c>
      <c r="M48" s="889">
        <v>10000</v>
      </c>
      <c r="N48" s="889">
        <v>10000</v>
      </c>
      <c r="O48" s="889">
        <v>10000</v>
      </c>
      <c r="P48" s="889">
        <v>10000</v>
      </c>
      <c r="Q48" s="889">
        <v>0</v>
      </c>
      <c r="R48" s="889">
        <f t="shared" si="9"/>
        <v>40000</v>
      </c>
      <c r="S48" s="889">
        <v>0</v>
      </c>
      <c r="T48" s="889"/>
      <c r="U48" s="889">
        <f>R48</f>
        <v>40000</v>
      </c>
      <c r="V48" s="889"/>
      <c r="W48" s="877"/>
      <c r="X48" s="877"/>
    </row>
    <row r="49" spans="1:54" s="662" customFormat="1" ht="30">
      <c r="A49" s="916"/>
      <c r="B49" s="918"/>
      <c r="C49" s="916"/>
      <c r="D49" s="914"/>
      <c r="E49" s="660" t="s">
        <v>282</v>
      </c>
      <c r="F49" s="677" t="s">
        <v>169</v>
      </c>
      <c r="G49" s="658">
        <f t="shared" si="14"/>
        <v>41</v>
      </c>
      <c r="H49" s="660" t="s">
        <v>317</v>
      </c>
      <c r="I49" s="889">
        <v>20</v>
      </c>
      <c r="J49" s="889">
        <f t="shared" si="13"/>
        <v>33028.758886645854</v>
      </c>
      <c r="K49" s="889">
        <v>660575.17773291713</v>
      </c>
      <c r="L49" s="889">
        <v>0</v>
      </c>
      <c r="M49" s="889">
        <v>137143.79443322928</v>
      </c>
      <c r="N49" s="889">
        <v>137143.79443322928</v>
      </c>
      <c r="O49" s="889">
        <v>193143.79443322928</v>
      </c>
      <c r="P49" s="889">
        <v>193143.79443322928</v>
      </c>
      <c r="Q49" s="889">
        <v>0</v>
      </c>
      <c r="R49" s="889">
        <f t="shared" si="9"/>
        <v>660575.17773291713</v>
      </c>
      <c r="S49" s="889">
        <v>0</v>
      </c>
      <c r="T49" s="889"/>
      <c r="U49" s="889">
        <f>R49</f>
        <v>660575.17773291713</v>
      </c>
      <c r="V49" s="889"/>
      <c r="W49" s="879" t="s">
        <v>301</v>
      </c>
      <c r="X49" s="879" t="s">
        <v>300</v>
      </c>
      <c r="Y49" s="624"/>
      <c r="Z49" s="624"/>
      <c r="AA49" s="624"/>
      <c r="AB49" s="624"/>
      <c r="AC49" s="624"/>
      <c r="AD49" s="624"/>
      <c r="AE49" s="624"/>
      <c r="AF49" s="624"/>
      <c r="AG49" s="624"/>
      <c r="AH49" s="624"/>
      <c r="AI49" s="624"/>
      <c r="AJ49" s="624"/>
      <c r="AK49" s="624"/>
      <c r="AL49" s="624"/>
      <c r="AM49" s="624"/>
      <c r="AN49" s="624"/>
      <c r="AO49" s="624"/>
      <c r="AP49" s="624"/>
      <c r="AQ49" s="624"/>
      <c r="AR49" s="624"/>
      <c r="AS49" s="624"/>
      <c r="AT49" s="624"/>
      <c r="AU49" s="624"/>
      <c r="AV49" s="624"/>
      <c r="AW49" s="624"/>
      <c r="AX49" s="624"/>
      <c r="AY49" s="624"/>
      <c r="AZ49" s="624"/>
    </row>
    <row r="50" spans="1:54" s="672" customFormat="1" ht="15.75" thickBot="1">
      <c r="A50" s="918"/>
      <c r="B50" s="940" t="s">
        <v>316</v>
      </c>
      <c r="C50" s="936"/>
      <c r="D50" s="676"/>
      <c r="E50" s="674"/>
      <c r="F50" s="675"/>
      <c r="G50" s="674"/>
      <c r="H50" s="674"/>
      <c r="I50" s="888"/>
      <c r="J50" s="673"/>
      <c r="K50" s="673">
        <f t="shared" ref="K50:Q50" si="15">SUM(K41:K49)</f>
        <v>5919520.8000902096</v>
      </c>
      <c r="L50" s="673">
        <f t="shared" si="15"/>
        <v>829551.60398772988</v>
      </c>
      <c r="M50" s="673">
        <f t="shared" si="15"/>
        <v>1143435.3185908596</v>
      </c>
      <c r="N50" s="673">
        <f t="shared" si="15"/>
        <v>1169186.1476717638</v>
      </c>
      <c r="O50" s="673">
        <f t="shared" si="15"/>
        <v>983015.57883853896</v>
      </c>
      <c r="P50" s="673">
        <f t="shared" si="15"/>
        <v>1045172.7553384184</v>
      </c>
      <c r="Q50" s="673">
        <f t="shared" si="15"/>
        <v>749159.39566289866</v>
      </c>
      <c r="R50" s="673">
        <f t="shared" si="9"/>
        <v>5919520.8000902086</v>
      </c>
      <c r="S50" s="673">
        <f>SUM(S41:S49)</f>
        <v>0</v>
      </c>
      <c r="T50" s="673">
        <f>SUM(T41:T49)</f>
        <v>1479323.2114750906</v>
      </c>
      <c r="U50" s="673">
        <f>SUM(U41:U49)</f>
        <v>2279408.6243319288</v>
      </c>
      <c r="V50" s="673">
        <f>SUM(V41:V49)</f>
        <v>2160788.9642831897</v>
      </c>
      <c r="W50" s="877">
        <f>S50+U50</f>
        <v>2279408.6243319288</v>
      </c>
      <c r="X50" s="877">
        <f>T50+V50</f>
        <v>3640112.1757582803</v>
      </c>
      <c r="Y50" s="624"/>
    </row>
    <row r="51" spans="1:54" ht="15.75" thickBot="1">
      <c r="A51" s="922" t="s">
        <v>315</v>
      </c>
      <c r="B51" s="923"/>
      <c r="C51" s="924"/>
      <c r="D51" s="671"/>
      <c r="E51" s="671"/>
      <c r="F51" s="670"/>
      <c r="G51" s="670"/>
      <c r="H51" s="669"/>
      <c r="I51" s="887"/>
      <c r="J51" s="669"/>
      <c r="K51" s="887">
        <f t="shared" ref="K51:Q51" si="16">K50</f>
        <v>5919520.8000902096</v>
      </c>
      <c r="L51" s="887">
        <f t="shared" si="16"/>
        <v>829551.60398772988</v>
      </c>
      <c r="M51" s="887">
        <f t="shared" si="16"/>
        <v>1143435.3185908596</v>
      </c>
      <c r="N51" s="887">
        <f t="shared" si="16"/>
        <v>1169186.1476717638</v>
      </c>
      <c r="O51" s="887">
        <f t="shared" si="16"/>
        <v>983015.57883853896</v>
      </c>
      <c r="P51" s="887">
        <f t="shared" si="16"/>
        <v>1045172.7553384184</v>
      </c>
      <c r="Q51" s="887">
        <f t="shared" si="16"/>
        <v>749159.39566289866</v>
      </c>
      <c r="R51" s="887">
        <f t="shared" si="9"/>
        <v>5919520.8000902086</v>
      </c>
      <c r="S51" s="887">
        <f>S50</f>
        <v>0</v>
      </c>
      <c r="T51" s="887">
        <f>T50</f>
        <v>1479323.2114750906</v>
      </c>
      <c r="U51" s="887">
        <f>U50</f>
        <v>2279408.6243319288</v>
      </c>
      <c r="V51" s="887">
        <f>V50</f>
        <v>2160788.9642831897</v>
      </c>
      <c r="W51" s="877">
        <f>S51+U51</f>
        <v>2279408.6243319288</v>
      </c>
      <c r="X51" s="877">
        <f>T51+V51</f>
        <v>3640112.1757582803</v>
      </c>
    </row>
    <row r="52" spans="1:54" ht="15" customHeight="1">
      <c r="A52" s="927" t="s">
        <v>314</v>
      </c>
      <c r="B52" s="915" t="s">
        <v>166</v>
      </c>
      <c r="C52" s="668" t="s">
        <v>313</v>
      </c>
      <c r="D52" s="661" t="s">
        <v>136</v>
      </c>
      <c r="E52" s="660" t="s">
        <v>282</v>
      </c>
      <c r="F52" s="667" t="s">
        <v>160</v>
      </c>
      <c r="G52" s="658">
        <f>G49+1</f>
        <v>42</v>
      </c>
      <c r="H52" s="666" t="s">
        <v>312</v>
      </c>
      <c r="I52" s="666">
        <v>2</v>
      </c>
      <c r="J52" s="886">
        <f t="shared" ref="J52:J57" si="17">(K52/I52)</f>
        <v>27817.799328000008</v>
      </c>
      <c r="K52" s="886">
        <v>55635.598656000016</v>
      </c>
      <c r="L52" s="886">
        <v>55635.598656000016</v>
      </c>
      <c r="M52" s="886">
        <v>0</v>
      </c>
      <c r="N52" s="886">
        <v>0</v>
      </c>
      <c r="O52" s="886">
        <v>0</v>
      </c>
      <c r="P52" s="886">
        <v>0</v>
      </c>
      <c r="Q52" s="886">
        <v>0</v>
      </c>
      <c r="R52" s="886">
        <f t="shared" si="9"/>
        <v>55635.598656000016</v>
      </c>
      <c r="S52" s="886">
        <v>0</v>
      </c>
      <c r="T52" s="886"/>
      <c r="U52" s="886">
        <f>(R52)</f>
        <v>55635.598656000016</v>
      </c>
      <c r="V52" s="886"/>
      <c r="W52" s="877"/>
      <c r="X52" s="877"/>
    </row>
    <row r="53" spans="1:54">
      <c r="A53" s="916"/>
      <c r="B53" s="915"/>
      <c r="C53" s="794" t="s">
        <v>311</v>
      </c>
      <c r="D53" s="661" t="s">
        <v>136</v>
      </c>
      <c r="E53" s="660" t="s">
        <v>282</v>
      </c>
      <c r="F53" s="667" t="s">
        <v>161</v>
      </c>
      <c r="G53" s="658">
        <f t="shared" ref="G53:G69" si="18">G52+1</f>
        <v>43</v>
      </c>
      <c r="H53" s="666" t="s">
        <v>308</v>
      </c>
      <c r="I53" s="666">
        <v>3</v>
      </c>
      <c r="J53" s="886">
        <f t="shared" si="17"/>
        <v>173333.33333333334</v>
      </c>
      <c r="K53" s="886">
        <v>520000</v>
      </c>
      <c r="L53" s="886">
        <v>60000</v>
      </c>
      <c r="M53" s="886">
        <v>0</v>
      </c>
      <c r="N53" s="886">
        <v>60000</v>
      </c>
      <c r="O53" s="886">
        <v>0</v>
      </c>
      <c r="P53" s="886">
        <v>0</v>
      </c>
      <c r="Q53" s="886">
        <v>400000</v>
      </c>
      <c r="R53" s="886">
        <f t="shared" si="9"/>
        <v>520000</v>
      </c>
      <c r="S53" s="886">
        <v>0</v>
      </c>
      <c r="T53" s="886"/>
      <c r="U53" s="886">
        <f>(R53)</f>
        <v>520000</v>
      </c>
      <c r="V53" s="886"/>
      <c r="W53" s="877"/>
      <c r="X53" s="877"/>
    </row>
    <row r="54" spans="1:54">
      <c r="A54" s="916"/>
      <c r="B54" s="915"/>
      <c r="C54" s="916" t="s">
        <v>310</v>
      </c>
      <c r="D54" s="913" t="s">
        <v>136</v>
      </c>
      <c r="E54" s="660" t="s">
        <v>282</v>
      </c>
      <c r="F54" s="665" t="s">
        <v>163</v>
      </c>
      <c r="G54" s="658">
        <f t="shared" si="18"/>
        <v>44</v>
      </c>
      <c r="H54" s="660" t="s">
        <v>308</v>
      </c>
      <c r="I54" s="660">
        <v>6</v>
      </c>
      <c r="J54" s="886">
        <f t="shared" si="17"/>
        <v>13333.333333333334</v>
      </c>
      <c r="K54" s="886">
        <v>80000</v>
      </c>
      <c r="L54" s="886">
        <v>13000</v>
      </c>
      <c r="M54" s="886">
        <v>13000</v>
      </c>
      <c r="N54" s="886">
        <v>13000</v>
      </c>
      <c r="O54" s="886">
        <v>13000</v>
      </c>
      <c r="P54" s="886">
        <v>13000</v>
      </c>
      <c r="Q54" s="886">
        <v>15000</v>
      </c>
      <c r="R54" s="886">
        <f t="shared" si="9"/>
        <v>80000</v>
      </c>
      <c r="S54" s="886">
        <v>0</v>
      </c>
      <c r="T54" s="886"/>
      <c r="U54" s="886">
        <f>(R54)</f>
        <v>80000</v>
      </c>
      <c r="V54" s="886"/>
      <c r="W54" s="877"/>
      <c r="X54" s="877"/>
    </row>
    <row r="55" spans="1:54">
      <c r="A55" s="916"/>
      <c r="B55" s="915"/>
      <c r="C55" s="916"/>
      <c r="D55" s="914"/>
      <c r="E55" s="660" t="s">
        <v>282</v>
      </c>
      <c r="F55" s="665" t="s">
        <v>161</v>
      </c>
      <c r="G55" s="658">
        <f t="shared" si="18"/>
        <v>45</v>
      </c>
      <c r="H55" s="660" t="s">
        <v>308</v>
      </c>
      <c r="I55" s="660">
        <v>6</v>
      </c>
      <c r="J55" s="886">
        <f t="shared" si="17"/>
        <v>31625</v>
      </c>
      <c r="K55" s="886">
        <v>189750</v>
      </c>
      <c r="L55" s="886">
        <v>31000</v>
      </c>
      <c r="M55" s="886">
        <v>31000</v>
      </c>
      <c r="N55" s="886">
        <v>31000</v>
      </c>
      <c r="O55" s="886">
        <v>31000</v>
      </c>
      <c r="P55" s="886">
        <v>31000</v>
      </c>
      <c r="Q55" s="886">
        <v>34750</v>
      </c>
      <c r="R55" s="886">
        <f t="shared" si="9"/>
        <v>189750</v>
      </c>
      <c r="S55" s="886">
        <v>0</v>
      </c>
      <c r="T55" s="886"/>
      <c r="U55" s="886">
        <f>(R55)</f>
        <v>189750</v>
      </c>
      <c r="V55" s="886"/>
      <c r="W55" s="877"/>
      <c r="X55" s="877"/>
    </row>
    <row r="56" spans="1:54">
      <c r="A56" s="916"/>
      <c r="B56" s="915"/>
      <c r="C56" s="794" t="s">
        <v>309</v>
      </c>
      <c r="D56" s="661" t="s">
        <v>136</v>
      </c>
      <c r="E56" s="660" t="s">
        <v>282</v>
      </c>
      <c r="F56" s="665" t="s">
        <v>160</v>
      </c>
      <c r="G56" s="658">
        <f t="shared" si="18"/>
        <v>46</v>
      </c>
      <c r="H56" s="660" t="s">
        <v>308</v>
      </c>
      <c r="I56" s="657">
        <v>1</v>
      </c>
      <c r="J56" s="886">
        <f t="shared" si="17"/>
        <v>51514.443200000002</v>
      </c>
      <c r="K56" s="886">
        <v>51514.443200000002</v>
      </c>
      <c r="L56" s="886">
        <v>51514.443200000009</v>
      </c>
      <c r="M56" s="886">
        <v>0</v>
      </c>
      <c r="N56" s="886">
        <v>0</v>
      </c>
      <c r="O56" s="886">
        <v>0</v>
      </c>
      <c r="P56" s="886">
        <v>0</v>
      </c>
      <c r="Q56" s="886">
        <v>0</v>
      </c>
      <c r="R56" s="886">
        <f t="shared" si="9"/>
        <v>51514.443200000009</v>
      </c>
      <c r="S56" s="886">
        <v>0</v>
      </c>
      <c r="T56" s="886"/>
      <c r="U56" s="886">
        <f>(R56)</f>
        <v>51514.443200000009</v>
      </c>
      <c r="V56" s="886"/>
      <c r="W56" s="877"/>
      <c r="X56" s="877"/>
    </row>
    <row r="57" spans="1:54" s="662" customFormat="1" ht="27.75" customHeight="1">
      <c r="A57" s="916"/>
      <c r="B57" s="915"/>
      <c r="C57" s="791" t="s">
        <v>307</v>
      </c>
      <c r="D57" s="885" t="s">
        <v>306</v>
      </c>
      <c r="E57" s="663" t="s">
        <v>282</v>
      </c>
      <c r="F57" s="664" t="s">
        <v>138</v>
      </c>
      <c r="G57" s="658">
        <f t="shared" si="18"/>
        <v>47</v>
      </c>
      <c r="H57" s="663" t="s">
        <v>302</v>
      </c>
      <c r="I57" s="663">
        <v>7</v>
      </c>
      <c r="J57" s="884">
        <f t="shared" si="17"/>
        <v>3290372.1631695321</v>
      </c>
      <c r="K57" s="884">
        <v>23032605.142186724</v>
      </c>
      <c r="L57" s="884">
        <v>3360186.2559149656</v>
      </c>
      <c r="M57" s="884">
        <v>4062874.86089683</v>
      </c>
      <c r="N57" s="884">
        <v>3965644.5617840965</v>
      </c>
      <c r="O57" s="884">
        <v>4028901.3644983014</v>
      </c>
      <c r="P57" s="884">
        <v>4017260.3846841264</v>
      </c>
      <c r="Q57" s="884">
        <v>3597737.7144084028</v>
      </c>
      <c r="R57" s="884">
        <f t="shared" si="9"/>
        <v>23032605.14218672</v>
      </c>
      <c r="S57" s="884"/>
      <c r="T57" s="884">
        <v>0</v>
      </c>
      <c r="U57" s="884"/>
      <c r="V57" s="884">
        <f>R57</f>
        <v>23032605.14218672</v>
      </c>
      <c r="W57" s="883"/>
      <c r="X57" s="883"/>
      <c r="Y57" s="624"/>
      <c r="Z57" s="624"/>
      <c r="AA57" s="624"/>
      <c r="AB57" s="624"/>
      <c r="AC57" s="624"/>
      <c r="AD57" s="624"/>
      <c r="AE57" s="624"/>
      <c r="AF57" s="624"/>
      <c r="AG57" s="624"/>
      <c r="AH57" s="624"/>
      <c r="AI57" s="624"/>
      <c r="AJ57" s="624"/>
      <c r="AK57" s="624"/>
      <c r="AL57" s="624"/>
      <c r="AM57" s="624"/>
      <c r="AN57" s="624"/>
      <c r="AO57" s="624"/>
      <c r="AP57" s="624"/>
      <c r="AQ57" s="624"/>
      <c r="AR57" s="624"/>
      <c r="AS57" s="624"/>
      <c r="AT57" s="624"/>
      <c r="AU57" s="624"/>
      <c r="AV57" s="624"/>
      <c r="AW57" s="624"/>
      <c r="AX57" s="624"/>
      <c r="AY57" s="624"/>
      <c r="AZ57" s="624"/>
      <c r="BA57" s="624"/>
      <c r="BB57" s="624"/>
    </row>
    <row r="58" spans="1:54" ht="13.5" customHeight="1">
      <c r="A58" s="916"/>
      <c r="B58" s="928" t="s">
        <v>153</v>
      </c>
      <c r="C58" s="881" t="s">
        <v>456</v>
      </c>
      <c r="D58" s="661" t="s">
        <v>136</v>
      </c>
      <c r="E58" s="660" t="s">
        <v>282</v>
      </c>
      <c r="F58" s="659" t="s">
        <v>138</v>
      </c>
      <c r="G58" s="658">
        <f t="shared" si="18"/>
        <v>48</v>
      </c>
      <c r="H58" s="657" t="s">
        <v>302</v>
      </c>
      <c r="I58" s="657">
        <v>6</v>
      </c>
      <c r="J58" s="880">
        <v>19400</v>
      </c>
      <c r="K58" s="880">
        <f t="shared" ref="K58:K63" si="19">J58*I58</f>
        <v>116400</v>
      </c>
      <c r="L58" s="880">
        <f>J58</f>
        <v>19400</v>
      </c>
      <c r="M58" s="880">
        <f>J58</f>
        <v>19400</v>
      </c>
      <c r="N58" s="880">
        <f>J58</f>
        <v>19400</v>
      </c>
      <c r="O58" s="880">
        <f>J58</f>
        <v>19400</v>
      </c>
      <c r="P58" s="880">
        <f>J58</f>
        <v>19400</v>
      </c>
      <c r="Q58" s="880">
        <f>J58</f>
        <v>19400</v>
      </c>
      <c r="R58" s="880">
        <f t="shared" si="9"/>
        <v>116400</v>
      </c>
      <c r="S58" s="880">
        <v>0</v>
      </c>
      <c r="T58" s="880"/>
      <c r="U58" s="880">
        <f t="shared" ref="U58:U69" si="20">R58</f>
        <v>116400</v>
      </c>
      <c r="V58" s="880"/>
      <c r="W58" s="877"/>
      <c r="X58" s="877"/>
    </row>
    <row r="59" spans="1:54" ht="14.45" customHeight="1">
      <c r="A59" s="916"/>
      <c r="B59" s="915"/>
      <c r="C59" s="881" t="s">
        <v>425</v>
      </c>
      <c r="D59" s="661" t="s">
        <v>136</v>
      </c>
      <c r="E59" s="660" t="s">
        <v>282</v>
      </c>
      <c r="F59" s="659" t="s">
        <v>138</v>
      </c>
      <c r="G59" s="658">
        <f t="shared" si="18"/>
        <v>49</v>
      </c>
      <c r="H59" s="657" t="s">
        <v>302</v>
      </c>
      <c r="I59" s="657">
        <v>6</v>
      </c>
      <c r="J59" s="880">
        <v>18240</v>
      </c>
      <c r="K59" s="880">
        <f t="shared" si="19"/>
        <v>109440</v>
      </c>
      <c r="L59" s="880">
        <f>J59</f>
        <v>18240</v>
      </c>
      <c r="M59" s="880">
        <v>18240</v>
      </c>
      <c r="N59" s="880">
        <v>18240</v>
      </c>
      <c r="O59" s="880">
        <v>18240</v>
      </c>
      <c r="P59" s="880">
        <v>18240</v>
      </c>
      <c r="Q59" s="880">
        <v>18240</v>
      </c>
      <c r="R59" s="880">
        <f t="shared" si="9"/>
        <v>109440</v>
      </c>
      <c r="S59" s="880">
        <v>0</v>
      </c>
      <c r="T59" s="880"/>
      <c r="U59" s="880">
        <f t="shared" si="20"/>
        <v>109440</v>
      </c>
      <c r="V59" s="880"/>
      <c r="W59" s="877"/>
      <c r="X59" s="877"/>
    </row>
    <row r="60" spans="1:54" ht="14.45" customHeight="1">
      <c r="A60" s="916"/>
      <c r="B60" s="915"/>
      <c r="C60" s="881" t="s">
        <v>424</v>
      </c>
      <c r="D60" s="661" t="s">
        <v>136</v>
      </c>
      <c r="E60" s="660" t="s">
        <v>282</v>
      </c>
      <c r="F60" s="659" t="s">
        <v>138</v>
      </c>
      <c r="G60" s="658">
        <f t="shared" si="18"/>
        <v>50</v>
      </c>
      <c r="H60" s="657" t="s">
        <v>302</v>
      </c>
      <c r="I60" s="657">
        <v>6</v>
      </c>
      <c r="J60" s="880">
        <v>15800</v>
      </c>
      <c r="K60" s="880">
        <f t="shared" si="19"/>
        <v>94800</v>
      </c>
      <c r="L60" s="880">
        <f>J60</f>
        <v>15800</v>
      </c>
      <c r="M60" s="880">
        <f>J60</f>
        <v>15800</v>
      </c>
      <c r="N60" s="880">
        <f>J60</f>
        <v>15800</v>
      </c>
      <c r="O60" s="880">
        <f>J60</f>
        <v>15800</v>
      </c>
      <c r="P60" s="880">
        <f>J60</f>
        <v>15800</v>
      </c>
      <c r="Q60" s="880">
        <f>J60</f>
        <v>15800</v>
      </c>
      <c r="R60" s="880">
        <f t="shared" si="9"/>
        <v>94800</v>
      </c>
      <c r="S60" s="880">
        <v>0</v>
      </c>
      <c r="T60" s="880"/>
      <c r="U60" s="880">
        <f t="shared" si="20"/>
        <v>94800</v>
      </c>
      <c r="V60" s="880"/>
      <c r="W60" s="877"/>
      <c r="X60" s="877"/>
    </row>
    <row r="61" spans="1:54" ht="14.45" customHeight="1">
      <c r="A61" s="916"/>
      <c r="B61" s="915"/>
      <c r="C61" s="881" t="s">
        <v>455</v>
      </c>
      <c r="D61" s="661" t="s">
        <v>136</v>
      </c>
      <c r="E61" s="660" t="s">
        <v>282</v>
      </c>
      <c r="F61" s="659" t="s">
        <v>138</v>
      </c>
      <c r="G61" s="658">
        <f t="shared" si="18"/>
        <v>51</v>
      </c>
      <c r="H61" s="657" t="s">
        <v>302</v>
      </c>
      <c r="I61" s="657">
        <v>12</v>
      </c>
      <c r="J61" s="880">
        <v>15020</v>
      </c>
      <c r="K61" s="880">
        <f t="shared" si="19"/>
        <v>180240</v>
      </c>
      <c r="L61" s="880">
        <f t="shared" ref="L61:Q61" si="21">$J$61*2</f>
        <v>30040</v>
      </c>
      <c r="M61" s="880">
        <f t="shared" si="21"/>
        <v>30040</v>
      </c>
      <c r="N61" s="880">
        <f t="shared" si="21"/>
        <v>30040</v>
      </c>
      <c r="O61" s="880">
        <f t="shared" si="21"/>
        <v>30040</v>
      </c>
      <c r="P61" s="880">
        <f t="shared" si="21"/>
        <v>30040</v>
      </c>
      <c r="Q61" s="880">
        <f t="shared" si="21"/>
        <v>30040</v>
      </c>
      <c r="R61" s="880">
        <f t="shared" si="9"/>
        <v>180240</v>
      </c>
      <c r="S61" s="880">
        <v>0</v>
      </c>
      <c r="T61" s="880"/>
      <c r="U61" s="880">
        <f t="shared" si="20"/>
        <v>180240</v>
      </c>
      <c r="V61" s="880"/>
      <c r="W61" s="882"/>
      <c r="X61" s="877"/>
    </row>
    <row r="62" spans="1:54" ht="14.45" customHeight="1">
      <c r="A62" s="916"/>
      <c r="B62" s="915"/>
      <c r="C62" s="881" t="s">
        <v>421</v>
      </c>
      <c r="D62" s="661" t="s">
        <v>136</v>
      </c>
      <c r="E62" s="660" t="s">
        <v>282</v>
      </c>
      <c r="F62" s="659" t="s">
        <v>138</v>
      </c>
      <c r="G62" s="658">
        <f t="shared" si="18"/>
        <v>52</v>
      </c>
      <c r="H62" s="657" t="s">
        <v>302</v>
      </c>
      <c r="I62" s="657">
        <v>6</v>
      </c>
      <c r="J62" s="880">
        <v>15000</v>
      </c>
      <c r="K62" s="880">
        <f t="shared" si="19"/>
        <v>90000</v>
      </c>
      <c r="L62" s="880">
        <f t="shared" ref="L62:Q62" si="22">$J$62</f>
        <v>15000</v>
      </c>
      <c r="M62" s="880">
        <f t="shared" si="22"/>
        <v>15000</v>
      </c>
      <c r="N62" s="880">
        <f t="shared" si="22"/>
        <v>15000</v>
      </c>
      <c r="O62" s="880">
        <f t="shared" si="22"/>
        <v>15000</v>
      </c>
      <c r="P62" s="880">
        <f t="shared" si="22"/>
        <v>15000</v>
      </c>
      <c r="Q62" s="880">
        <f t="shared" si="22"/>
        <v>15000</v>
      </c>
      <c r="R62" s="880">
        <f t="shared" si="9"/>
        <v>90000</v>
      </c>
      <c r="S62" s="880"/>
      <c r="T62" s="880"/>
      <c r="U62" s="880">
        <f t="shared" si="20"/>
        <v>90000</v>
      </c>
      <c r="V62" s="880"/>
      <c r="W62" s="882"/>
      <c r="X62" s="877"/>
    </row>
    <row r="63" spans="1:54">
      <c r="A63" s="916"/>
      <c r="B63" s="915"/>
      <c r="C63" s="881" t="s">
        <v>152</v>
      </c>
      <c r="D63" s="661" t="s">
        <v>136</v>
      </c>
      <c r="E63" s="660" t="s">
        <v>282</v>
      </c>
      <c r="F63" s="659" t="s">
        <v>138</v>
      </c>
      <c r="G63" s="658">
        <f t="shared" si="18"/>
        <v>53</v>
      </c>
      <c r="H63" s="657" t="s">
        <v>302</v>
      </c>
      <c r="I63" s="657">
        <v>6</v>
      </c>
      <c r="J63" s="880">
        <v>4600</v>
      </c>
      <c r="K63" s="880">
        <f t="shared" si="19"/>
        <v>27600</v>
      </c>
      <c r="L63" s="880">
        <f>J63</f>
        <v>4600</v>
      </c>
      <c r="M63" s="880">
        <f>J63</f>
        <v>4600</v>
      </c>
      <c r="N63" s="880">
        <f>J63</f>
        <v>4600</v>
      </c>
      <c r="O63" s="880">
        <f>J63</f>
        <v>4600</v>
      </c>
      <c r="P63" s="880">
        <f>J63</f>
        <v>4600</v>
      </c>
      <c r="Q63" s="880">
        <f>J63</f>
        <v>4600</v>
      </c>
      <c r="R63" s="880">
        <f t="shared" si="9"/>
        <v>27600</v>
      </c>
      <c r="S63" s="880">
        <v>0</v>
      </c>
      <c r="T63" s="880"/>
      <c r="U63" s="880">
        <f t="shared" si="20"/>
        <v>27600</v>
      </c>
      <c r="V63" s="880"/>
      <c r="W63" s="877"/>
      <c r="X63" s="877"/>
    </row>
    <row r="64" spans="1:54" ht="14.45" customHeight="1">
      <c r="A64" s="916"/>
      <c r="B64" s="929" t="s">
        <v>151</v>
      </c>
      <c r="C64" s="792" t="s">
        <v>305</v>
      </c>
      <c r="D64" s="661" t="s">
        <v>136</v>
      </c>
      <c r="E64" s="660" t="s">
        <v>282</v>
      </c>
      <c r="F64" s="659" t="s">
        <v>138</v>
      </c>
      <c r="G64" s="658">
        <f t="shared" si="18"/>
        <v>54</v>
      </c>
      <c r="H64" s="657" t="s">
        <v>302</v>
      </c>
      <c r="I64" s="657">
        <v>6</v>
      </c>
      <c r="J64" s="880">
        <f>(K64/I64)</f>
        <v>23782.002514578799</v>
      </c>
      <c r="K64" s="880">
        <v>142692.0150874728</v>
      </c>
      <c r="L64" s="880">
        <v>23078.470553600004</v>
      </c>
      <c r="M64" s="880">
        <v>23355.412200243201</v>
      </c>
      <c r="N64" s="880">
        <v>23635.677146646121</v>
      </c>
      <c r="O64" s="880">
        <v>23919.305272405876</v>
      </c>
      <c r="P64" s="880">
        <v>24206.336935674743</v>
      </c>
      <c r="Q64" s="880">
        <v>24496.812978902843</v>
      </c>
      <c r="R64" s="880">
        <f t="shared" si="9"/>
        <v>142692.0150874728</v>
      </c>
      <c r="S64" s="880">
        <v>0</v>
      </c>
      <c r="T64" s="880"/>
      <c r="U64" s="880">
        <f t="shared" si="20"/>
        <v>142692.0150874728</v>
      </c>
      <c r="V64" s="880"/>
      <c r="W64" s="877"/>
      <c r="X64" s="877"/>
    </row>
    <row r="65" spans="1:54">
      <c r="A65" s="916"/>
      <c r="B65" s="930"/>
      <c r="C65" s="792" t="s">
        <v>304</v>
      </c>
      <c r="D65" s="661" t="s">
        <v>136</v>
      </c>
      <c r="E65" s="660" t="s">
        <v>282</v>
      </c>
      <c r="F65" s="659" t="s">
        <v>138</v>
      </c>
      <c r="G65" s="658">
        <f t="shared" si="18"/>
        <v>55</v>
      </c>
      <c r="H65" s="657" t="s">
        <v>302</v>
      </c>
      <c r="I65" s="657">
        <v>6</v>
      </c>
      <c r="J65" s="880">
        <f>(K65/I65)</f>
        <v>113333</v>
      </c>
      <c r="K65" s="880">
        <v>679998</v>
      </c>
      <c r="L65" s="880">
        <v>113333</v>
      </c>
      <c r="M65" s="880">
        <v>113333</v>
      </c>
      <c r="N65" s="880">
        <v>113333</v>
      </c>
      <c r="O65" s="880">
        <v>113333</v>
      </c>
      <c r="P65" s="880">
        <v>113333</v>
      </c>
      <c r="Q65" s="880">
        <v>113333</v>
      </c>
      <c r="R65" s="880">
        <f t="shared" si="9"/>
        <v>679998</v>
      </c>
      <c r="S65" s="880">
        <v>0</v>
      </c>
      <c r="T65" s="880"/>
      <c r="U65" s="880">
        <f t="shared" si="20"/>
        <v>679998</v>
      </c>
      <c r="V65" s="880"/>
      <c r="W65" s="877"/>
      <c r="X65" s="877"/>
    </row>
    <row r="66" spans="1:54" ht="14.45" customHeight="1">
      <c r="A66" s="916"/>
      <c r="B66" s="930"/>
      <c r="C66" s="792" t="s">
        <v>303</v>
      </c>
      <c r="D66" s="661" t="s">
        <v>136</v>
      </c>
      <c r="E66" s="660" t="s">
        <v>282</v>
      </c>
      <c r="F66" s="659" t="s">
        <v>138</v>
      </c>
      <c r="G66" s="658">
        <f t="shared" si="18"/>
        <v>56</v>
      </c>
      <c r="H66" s="657" t="s">
        <v>302</v>
      </c>
      <c r="I66" s="657">
        <v>6</v>
      </c>
      <c r="J66" s="880">
        <v>83333.333333333328</v>
      </c>
      <c r="K66" s="880">
        <v>500000</v>
      </c>
      <c r="L66" s="880">
        <f>+J66</f>
        <v>83333.333333333328</v>
      </c>
      <c r="M66" s="880">
        <f>+J66</f>
        <v>83333.333333333328</v>
      </c>
      <c r="N66" s="880">
        <f>+J66</f>
        <v>83333.333333333328</v>
      </c>
      <c r="O66" s="880">
        <f>+J66</f>
        <v>83333.333333333328</v>
      </c>
      <c r="P66" s="880">
        <f>+J66</f>
        <v>83333.333333333328</v>
      </c>
      <c r="Q66" s="880">
        <f>+J66</f>
        <v>83333.333333333328</v>
      </c>
      <c r="R66" s="880">
        <f t="shared" ref="R66:R73" si="23">L66+M66+N66+O66+P66+Q66</f>
        <v>499999.99999999994</v>
      </c>
      <c r="S66" s="880">
        <v>0</v>
      </c>
      <c r="T66" s="880"/>
      <c r="U66" s="880">
        <f t="shared" si="20"/>
        <v>499999.99999999994</v>
      </c>
      <c r="V66" s="880"/>
      <c r="W66" s="877"/>
      <c r="X66" s="877"/>
    </row>
    <row r="67" spans="1:54">
      <c r="A67" s="916"/>
      <c r="B67" s="930"/>
      <c r="C67" s="794" t="s">
        <v>140</v>
      </c>
      <c r="D67" s="661" t="s">
        <v>136</v>
      </c>
      <c r="E67" s="660" t="s">
        <v>282</v>
      </c>
      <c r="F67" s="659" t="s">
        <v>138</v>
      </c>
      <c r="G67" s="658">
        <f t="shared" si="18"/>
        <v>57</v>
      </c>
      <c r="H67" s="657" t="s">
        <v>302</v>
      </c>
      <c r="I67" s="657">
        <v>6</v>
      </c>
      <c r="J67" s="880">
        <f>(K67/I67)</f>
        <v>5822.1075469858779</v>
      </c>
      <c r="K67" s="880">
        <v>34932.645281915269</v>
      </c>
      <c r="L67" s="880">
        <v>5709.0399103999998</v>
      </c>
      <c r="M67" s="880">
        <v>5753.5483893248002</v>
      </c>
      <c r="N67" s="880">
        <v>5798.5909699966996</v>
      </c>
      <c r="O67" s="880">
        <v>5844.1740616366596</v>
      </c>
      <c r="P67" s="880">
        <v>5890.3041503763006</v>
      </c>
      <c r="Q67" s="880">
        <v>5936.9878001808102</v>
      </c>
      <c r="R67" s="880">
        <f t="shared" si="23"/>
        <v>34932.645281915269</v>
      </c>
      <c r="S67" s="880">
        <v>0</v>
      </c>
      <c r="T67" s="880"/>
      <c r="U67" s="880">
        <f t="shared" si="20"/>
        <v>34932.645281915269</v>
      </c>
      <c r="V67" s="880"/>
      <c r="W67" s="877"/>
      <c r="X67" s="877"/>
    </row>
    <row r="68" spans="1:54">
      <c r="A68" s="916"/>
      <c r="B68" s="930"/>
      <c r="C68" s="881" t="s">
        <v>139</v>
      </c>
      <c r="D68" s="661" t="s">
        <v>136</v>
      </c>
      <c r="E68" s="660" t="s">
        <v>282</v>
      </c>
      <c r="F68" s="659" t="s">
        <v>138</v>
      </c>
      <c r="G68" s="658">
        <f t="shared" si="18"/>
        <v>58</v>
      </c>
      <c r="H68" s="657" t="s">
        <v>302</v>
      </c>
      <c r="I68" s="657">
        <v>6</v>
      </c>
      <c r="J68" s="880">
        <f>(K68/I68)</f>
        <v>2548.0716979905851</v>
      </c>
      <c r="K68" s="880">
        <v>15288.430187943512</v>
      </c>
      <c r="L68" s="880">
        <v>2472.6932736000003</v>
      </c>
      <c r="M68" s="880">
        <v>2502.3655928832004</v>
      </c>
      <c r="N68" s="880">
        <v>2532.3939799977984</v>
      </c>
      <c r="O68" s="880">
        <v>2562.7827077577722</v>
      </c>
      <c r="P68" s="880">
        <v>2593.5361002508648</v>
      </c>
      <c r="Q68" s="880">
        <v>2624.6585334538759</v>
      </c>
      <c r="R68" s="880">
        <f t="shared" si="23"/>
        <v>15288.430187943512</v>
      </c>
      <c r="S68" s="880">
        <v>0</v>
      </c>
      <c r="T68" s="880"/>
      <c r="U68" s="880">
        <f t="shared" si="20"/>
        <v>15288.430187943512</v>
      </c>
      <c r="V68" s="880"/>
      <c r="W68" s="877"/>
      <c r="X68" s="877"/>
    </row>
    <row r="69" spans="1:54">
      <c r="A69" s="916"/>
      <c r="B69" s="794" t="s">
        <v>454</v>
      </c>
      <c r="C69" s="881" t="s">
        <v>453</v>
      </c>
      <c r="D69" s="661" t="s">
        <v>136</v>
      </c>
      <c r="E69" s="660" t="s">
        <v>282</v>
      </c>
      <c r="F69" s="659" t="s">
        <v>138</v>
      </c>
      <c r="G69" s="658">
        <f t="shared" si="18"/>
        <v>59</v>
      </c>
      <c r="H69" s="657" t="s">
        <v>302</v>
      </c>
      <c r="I69" s="657">
        <v>6</v>
      </c>
      <c r="J69" s="880">
        <f>(K69/I69)</f>
        <v>16666.666666666668</v>
      </c>
      <c r="K69" s="880">
        <v>100000.00000000001</v>
      </c>
      <c r="L69" s="880">
        <v>16666.666666666668</v>
      </c>
      <c r="M69" s="880">
        <v>16666.666666666668</v>
      </c>
      <c r="N69" s="880">
        <v>16666.666666666668</v>
      </c>
      <c r="O69" s="880">
        <v>16666.666666666668</v>
      </c>
      <c r="P69" s="880">
        <v>16666.666666666668</v>
      </c>
      <c r="Q69" s="880">
        <v>16666.666666666668</v>
      </c>
      <c r="R69" s="880">
        <f t="shared" si="23"/>
        <v>100000.00000000001</v>
      </c>
      <c r="S69" s="880">
        <v>0</v>
      </c>
      <c r="T69" s="880"/>
      <c r="U69" s="880">
        <f t="shared" si="20"/>
        <v>100000.00000000001</v>
      </c>
      <c r="V69" s="880"/>
      <c r="W69" s="879" t="s">
        <v>301</v>
      </c>
      <c r="X69" s="879" t="s">
        <v>300</v>
      </c>
    </row>
    <row r="70" spans="1:54" s="648" customFormat="1">
      <c r="A70" s="918"/>
      <c r="B70" s="656" t="s">
        <v>299</v>
      </c>
      <c r="C70" s="656"/>
      <c r="D70" s="654"/>
      <c r="E70" s="654"/>
      <c r="F70" s="655"/>
      <c r="G70" s="655"/>
      <c r="H70" s="654"/>
      <c r="I70" s="654"/>
      <c r="J70" s="654"/>
      <c r="K70" s="878">
        <f t="shared" ref="K70:Q70" si="24">SUM(K52:K69)</f>
        <v>26020896.274600055</v>
      </c>
      <c r="L70" s="878">
        <f t="shared" si="24"/>
        <v>3919009.5015085661</v>
      </c>
      <c r="M70" s="878">
        <f t="shared" si="24"/>
        <v>4454899.1870792806</v>
      </c>
      <c r="N70" s="878">
        <f t="shared" si="24"/>
        <v>4418024.2238807362</v>
      </c>
      <c r="O70" s="878">
        <f t="shared" si="24"/>
        <v>4421640.6265401011</v>
      </c>
      <c r="P70" s="878">
        <f t="shared" si="24"/>
        <v>4410363.5618704287</v>
      </c>
      <c r="Q70" s="878">
        <f t="shared" si="24"/>
        <v>4396959.1737209409</v>
      </c>
      <c r="R70" s="878">
        <f t="shared" si="23"/>
        <v>26020896.274600055</v>
      </c>
      <c r="S70" s="878">
        <f>SUM(S52:S69)</f>
        <v>0</v>
      </c>
      <c r="T70" s="878">
        <f>SUM(T52:T69)</f>
        <v>0</v>
      </c>
      <c r="U70" s="878">
        <f>SUM(U52:U69)</f>
        <v>2988291.132413331</v>
      </c>
      <c r="V70" s="878">
        <f>SUM(V52:V69)</f>
        <v>23032605.14218672</v>
      </c>
      <c r="W70" s="877">
        <f>S70+U70</f>
        <v>2988291.132413331</v>
      </c>
      <c r="X70" s="877">
        <f>T70+V70</f>
        <v>23032605.14218672</v>
      </c>
      <c r="Y70" s="624"/>
      <c r="Z70" s="624"/>
      <c r="AA70" s="624"/>
      <c r="AB70" s="624"/>
      <c r="AC70" s="624"/>
      <c r="AD70" s="624"/>
      <c r="AE70" s="624"/>
      <c r="AF70" s="624"/>
      <c r="AG70" s="624"/>
      <c r="AH70" s="624"/>
      <c r="AI70" s="624"/>
      <c r="AJ70" s="624"/>
      <c r="AK70" s="624"/>
      <c r="AL70" s="624"/>
      <c r="AM70" s="624"/>
      <c r="AN70" s="624"/>
      <c r="AO70" s="624"/>
      <c r="AP70" s="624"/>
      <c r="AQ70" s="624"/>
      <c r="AR70" s="624"/>
      <c r="AS70" s="624"/>
      <c r="AT70" s="624"/>
      <c r="AU70" s="624"/>
      <c r="AV70" s="624"/>
      <c r="AW70" s="624"/>
      <c r="AX70" s="624"/>
      <c r="AY70" s="624"/>
      <c r="AZ70" s="624"/>
      <c r="BA70" s="624"/>
      <c r="BB70" s="624"/>
    </row>
    <row r="71" spans="1:54" s="648" customFormat="1">
      <c r="A71" s="652" t="s">
        <v>298</v>
      </c>
      <c r="B71" s="652"/>
      <c r="C71" s="652"/>
      <c r="D71" s="652"/>
      <c r="E71" s="652"/>
      <c r="F71" s="653"/>
      <c r="G71" s="653"/>
      <c r="H71" s="652"/>
      <c r="I71" s="652"/>
      <c r="J71" s="652"/>
      <c r="K71" s="651">
        <f t="shared" ref="K71:Q71" si="25">K70+K51+K40+K32</f>
        <v>150847443.99329549</v>
      </c>
      <c r="L71" s="651">
        <f t="shared" si="25"/>
        <v>20294798.218668282</v>
      </c>
      <c r="M71" s="651">
        <f t="shared" si="25"/>
        <v>29416127.541065976</v>
      </c>
      <c r="N71" s="651">
        <f t="shared" si="25"/>
        <v>29515147.615034096</v>
      </c>
      <c r="O71" s="651">
        <f t="shared" si="25"/>
        <v>27014618.093888689</v>
      </c>
      <c r="P71" s="651">
        <f t="shared" si="25"/>
        <v>25130670.496776175</v>
      </c>
      <c r="Q71" s="651">
        <f t="shared" si="25"/>
        <v>19476082.027862288</v>
      </c>
      <c r="R71" s="651">
        <f t="shared" si="23"/>
        <v>150847443.99329549</v>
      </c>
      <c r="S71" s="650"/>
      <c r="T71" s="650"/>
      <c r="U71" s="650"/>
      <c r="V71" s="650"/>
      <c r="W71" s="649"/>
      <c r="X71" s="649"/>
    </row>
    <row r="72" spans="1:54" s="648" customFormat="1">
      <c r="A72" s="652" t="s">
        <v>297</v>
      </c>
      <c r="B72" s="652"/>
      <c r="C72" s="652"/>
      <c r="D72" s="652"/>
      <c r="E72" s="652"/>
      <c r="F72" s="653"/>
      <c r="G72" s="653"/>
      <c r="H72" s="652"/>
      <c r="I72" s="652"/>
      <c r="J72" s="652"/>
      <c r="K72" s="651">
        <f t="shared" ref="K72:Q72" si="26">K71-K73</f>
        <v>53861003.146673918</v>
      </c>
      <c r="L72" s="651">
        <f t="shared" si="26"/>
        <v>3961378.7214368843</v>
      </c>
      <c r="M72" s="651">
        <f t="shared" si="26"/>
        <v>12284769.236257948</v>
      </c>
      <c r="N72" s="651">
        <f t="shared" si="26"/>
        <v>12665154.483890321</v>
      </c>
      <c r="O72" s="651">
        <f t="shared" si="26"/>
        <v>10744458.839720583</v>
      </c>
      <c r="P72" s="651">
        <f t="shared" si="26"/>
        <v>8316722.3158272021</v>
      </c>
      <c r="Q72" s="651">
        <f t="shared" si="26"/>
        <v>5888519.5495410189</v>
      </c>
      <c r="R72" s="651">
        <f t="shared" si="23"/>
        <v>53861003.146673955</v>
      </c>
      <c r="S72" s="650">
        <f>S70+S51+S40+S32</f>
        <v>12815705.377349295</v>
      </c>
      <c r="T72" s="650"/>
      <c r="U72" s="650">
        <f>U70+U51+U40+U32</f>
        <v>41045297.769324645</v>
      </c>
      <c r="V72" s="650"/>
      <c r="W72" s="649"/>
      <c r="X72" s="649"/>
    </row>
    <row r="73" spans="1:54" s="648" customFormat="1">
      <c r="A73" s="652" t="s">
        <v>296</v>
      </c>
      <c r="B73" s="652"/>
      <c r="C73" s="652"/>
      <c r="D73" s="652"/>
      <c r="E73" s="652"/>
      <c r="F73" s="653"/>
      <c r="G73" s="653"/>
      <c r="H73" s="652"/>
      <c r="I73" s="652"/>
      <c r="J73" s="652"/>
      <c r="K73" s="651">
        <f t="shared" ref="K73:Q73" si="27" xml:space="preserve"> SUM(K57,K44:K45,K35:K36,K5:K6,K27:K28)</f>
        <v>96986440.846621573</v>
      </c>
      <c r="L73" s="651">
        <f t="shared" si="27"/>
        <v>16333419.497231398</v>
      </c>
      <c r="M73" s="651">
        <f t="shared" si="27"/>
        <v>17131358.304808028</v>
      </c>
      <c r="N73" s="651">
        <f t="shared" si="27"/>
        <v>16849993.131143775</v>
      </c>
      <c r="O73" s="651">
        <f t="shared" si="27"/>
        <v>16270159.254168106</v>
      </c>
      <c r="P73" s="651">
        <f t="shared" si="27"/>
        <v>16813948.180948973</v>
      </c>
      <c r="Q73" s="651">
        <f t="shared" si="27"/>
        <v>13587562.478321269</v>
      </c>
      <c r="R73" s="651">
        <f t="shared" si="23"/>
        <v>96986440.846621558</v>
      </c>
      <c r="S73" s="650"/>
      <c r="T73" s="650">
        <f>T70+T51+T40+T32</f>
        <v>59552898.022265293</v>
      </c>
      <c r="U73" s="650"/>
      <c r="V73" s="650">
        <f>V70+V51+V40+V32</f>
        <v>37433542.824356258</v>
      </c>
      <c r="W73" s="649"/>
      <c r="X73" s="649"/>
    </row>
    <row r="74" spans="1:54">
      <c r="J74" s="647"/>
    </row>
    <row r="75" spans="1:54">
      <c r="K75" s="632"/>
      <c r="L75" s="876"/>
      <c r="M75" s="876"/>
      <c r="N75" s="876"/>
      <c r="O75" s="876"/>
      <c r="P75" s="876"/>
      <c r="Q75" s="876"/>
      <c r="S75" s="646"/>
      <c r="T75" s="632"/>
      <c r="U75" s="632"/>
      <c r="V75" s="632"/>
    </row>
    <row r="76" spans="1:54">
      <c r="A76" s="626" t="s">
        <v>295</v>
      </c>
      <c r="Q76" s="644"/>
      <c r="R76" s="875"/>
      <c r="S76" s="645"/>
      <c r="T76" s="645"/>
      <c r="U76" s="644"/>
      <c r="V76" s="645"/>
      <c r="W76" s="643"/>
      <c r="X76" s="643"/>
    </row>
    <row r="78" spans="1:54">
      <c r="K78" s="634" t="s">
        <v>294</v>
      </c>
      <c r="L78" s="642">
        <f t="shared" ref="L78:V78" si="28">L2+L3+L21</f>
        <v>594596</v>
      </c>
      <c r="M78" s="642">
        <f t="shared" si="28"/>
        <v>3862837.7924497649</v>
      </c>
      <c r="N78" s="642">
        <f t="shared" si="28"/>
        <v>3591596</v>
      </c>
      <c r="O78" s="642">
        <f t="shared" si="28"/>
        <v>2818837.7924497649</v>
      </c>
      <c r="P78" s="642">
        <f t="shared" si="28"/>
        <v>1947837.7924497649</v>
      </c>
      <c r="Q78" s="641">
        <f t="shared" si="28"/>
        <v>0</v>
      </c>
      <c r="R78" s="642">
        <f t="shared" si="28"/>
        <v>12815705.377349295</v>
      </c>
      <c r="S78" s="642">
        <f t="shared" si="28"/>
        <v>12815705.377349295</v>
      </c>
      <c r="T78" s="642">
        <f t="shared" si="28"/>
        <v>0</v>
      </c>
      <c r="U78" s="642">
        <f t="shared" si="28"/>
        <v>0</v>
      </c>
      <c r="V78" s="641">
        <f t="shared" si="28"/>
        <v>0</v>
      </c>
      <c r="W78" s="632"/>
      <c r="X78" s="632"/>
    </row>
    <row r="79" spans="1:54">
      <c r="K79" s="630" t="s">
        <v>293</v>
      </c>
      <c r="L79" s="872">
        <f t="shared" ref="L79:Q79" si="29">L4+(SUM(L7:L15)+SUM(L17:L20)+SUM(L22:L26)+SUM(L29:L30)+SUM(L33:L34)+L38+SUM(L41:L43)+SUM(L46:L49)+SUM(L52:L56)+SUM(L58:L69))</f>
        <v>3366782.7214368787</v>
      </c>
      <c r="M79" s="872">
        <f t="shared" si="29"/>
        <v>8421931.4438081831</v>
      </c>
      <c r="N79" s="872">
        <f t="shared" si="29"/>
        <v>9073558.4838903174</v>
      </c>
      <c r="O79" s="872">
        <f t="shared" si="29"/>
        <v>7925621.0472708186</v>
      </c>
      <c r="P79" s="872">
        <f t="shared" si="29"/>
        <v>6368884.5233774334</v>
      </c>
      <c r="Q79" s="871">
        <f t="shared" si="29"/>
        <v>5888519.549541018</v>
      </c>
      <c r="R79" s="874">
        <f>R4+(SUM(R7:R15)+SUM(R17:R20)+SUM(R22:R23)+SUM(R29:R30)+SUM(R33:R34)+R38+SUM(R41:R43)+SUM(R46:R49)+SUM(R52:R56)+SUM(R58:R69))</f>
        <v>24810746.038863894</v>
      </c>
      <c r="S79" s="874">
        <f>S4+(SUM(S7:S15)+SUM(S17:S20)+SUM(S22:S23)+SUM(S29:S30)+SUM(S33:S34)+S38+SUM(S41:S43)+SUM(S46:S49)+SUM(S52:S56)+SUM(S58:S69))</f>
        <v>0</v>
      </c>
      <c r="T79" s="874">
        <f>T4+(SUM(T7:T15)+SUM(T17:T20)+SUM(T22:T23)+SUM(T29:T30)+SUM(T33:T34)+T38+SUM(T41:T43)+SUM(T46:T49)+SUM(T52:T56)+SUM(T58:T69))</f>
        <v>0</v>
      </c>
      <c r="U79" s="874">
        <f>U4+(SUM(U7:U15)+SUM(U17:U20)+SUM(U22:U23)+SUM(U29:U30)+SUM(U33:U34)+U38+SUM(U41:U43)+SUM(U46:U49)+SUM(U52:U56)+SUM(U58:U69))</f>
        <v>24810746.038863894</v>
      </c>
      <c r="V79" s="873">
        <f>V4+(SUM(V7:V15)+SUM(V17:V20)+SUM(V22:V23)+SUM(V29:V30)+SUM(V33:V34)+V38+SUM(V41:V43)+SUM(V46:V49)+SUM(V52:V56)+SUM(V58:V69))</f>
        <v>0</v>
      </c>
    </row>
    <row r="80" spans="1:54">
      <c r="K80" s="630" t="s">
        <v>292</v>
      </c>
      <c r="L80" s="872">
        <f t="shared" ref="L80:T80" si="30">L5+L6+L27+L35+L36+L45</f>
        <v>10589050.081192868</v>
      </c>
      <c r="M80" s="872">
        <f t="shared" si="30"/>
        <v>10581116.265758863</v>
      </c>
      <c r="N80" s="872">
        <f t="shared" si="30"/>
        <v>10336126.390311176</v>
      </c>
      <c r="O80" s="872">
        <f t="shared" si="30"/>
        <v>9791763.061706109</v>
      </c>
      <c r="P80" s="872">
        <f t="shared" si="30"/>
        <v>10244994.279256051</v>
      </c>
      <c r="Q80" s="871">
        <f t="shared" si="30"/>
        <v>8009847.944040223</v>
      </c>
      <c r="R80" s="632">
        <f t="shared" si="30"/>
        <v>59552898.022265293</v>
      </c>
      <c r="S80" s="632">
        <f t="shared" si="30"/>
        <v>0</v>
      </c>
      <c r="T80" s="632">
        <f t="shared" si="30"/>
        <v>59552898.022265293</v>
      </c>
      <c r="U80" s="632"/>
      <c r="V80" s="629"/>
    </row>
    <row r="81" spans="10:24" s="624" customFormat="1">
      <c r="K81" s="628" t="s">
        <v>291</v>
      </c>
      <c r="L81" s="870">
        <f t="shared" ref="L81:V81" si="31">L28+L44+L57</f>
        <v>5744369.4160385318</v>
      </c>
      <c r="M81" s="870">
        <f t="shared" si="31"/>
        <v>6550242.0390491653</v>
      </c>
      <c r="N81" s="870">
        <f t="shared" si="31"/>
        <v>6513866.7408326007</v>
      </c>
      <c r="O81" s="870">
        <f t="shared" si="31"/>
        <v>6478396.1924619991</v>
      </c>
      <c r="P81" s="870">
        <f t="shared" si="31"/>
        <v>6568953.9016929213</v>
      </c>
      <c r="Q81" s="869">
        <f t="shared" si="31"/>
        <v>5577714.5342810471</v>
      </c>
      <c r="R81" s="640">
        <f t="shared" si="31"/>
        <v>37433542.824356258</v>
      </c>
      <c r="S81" s="640">
        <f t="shared" si="31"/>
        <v>0</v>
      </c>
      <c r="T81" s="640">
        <f t="shared" si="31"/>
        <v>0</v>
      </c>
      <c r="U81" s="640">
        <f t="shared" si="31"/>
        <v>0</v>
      </c>
      <c r="V81" s="639">
        <f t="shared" si="31"/>
        <v>37433542.824356258</v>
      </c>
      <c r="W81" s="632"/>
      <c r="X81" s="632"/>
    </row>
    <row r="82" spans="10:24" s="624" customFormat="1">
      <c r="K82" s="626"/>
      <c r="L82" s="632"/>
      <c r="M82" s="632"/>
      <c r="N82" s="632"/>
      <c r="O82" s="632"/>
      <c r="P82" s="632"/>
      <c r="Q82" s="632"/>
      <c r="R82" s="632"/>
      <c r="S82" s="632"/>
      <c r="T82" s="632"/>
      <c r="U82" s="632"/>
      <c r="V82" s="632"/>
      <c r="W82" s="632"/>
      <c r="X82" s="632"/>
    </row>
    <row r="83" spans="10:24" s="624" customFormat="1" ht="29.1" customHeight="1">
      <c r="J83" s="638" t="s">
        <v>290</v>
      </c>
      <c r="K83" s="637" t="s">
        <v>289</v>
      </c>
      <c r="L83" s="868">
        <v>127499903.61233956</v>
      </c>
      <c r="M83" s="632"/>
      <c r="N83" s="632"/>
      <c r="O83" s="632"/>
      <c r="P83" s="632"/>
      <c r="Q83" s="632"/>
      <c r="R83" s="632"/>
      <c r="S83" s="632"/>
      <c r="U83" s="636"/>
      <c r="V83" s="632"/>
      <c r="W83" s="632"/>
      <c r="X83" s="632"/>
    </row>
    <row r="84" spans="10:24" s="624" customFormat="1" ht="30">
      <c r="K84" s="867" t="s">
        <v>288</v>
      </c>
      <c r="L84" s="866">
        <v>30513462.765718002</v>
      </c>
      <c r="R84" s="644"/>
    </row>
    <row r="85" spans="10:24" s="624" customFormat="1" ht="30">
      <c r="K85" s="865" t="s">
        <v>287</v>
      </c>
      <c r="L85" s="864">
        <v>96986440.846621603</v>
      </c>
      <c r="M85" s="632">
        <f>L85-R73</f>
        <v>0</v>
      </c>
      <c r="N85" s="632"/>
      <c r="O85" s="632"/>
      <c r="P85" s="632"/>
      <c r="Q85" s="632"/>
      <c r="R85" s="632"/>
      <c r="S85" s="632"/>
      <c r="T85" s="632"/>
      <c r="U85" s="632"/>
      <c r="V85" s="632"/>
    </row>
    <row r="86" spans="10:24" s="624" customFormat="1">
      <c r="K86" s="626"/>
      <c r="L86" s="632"/>
      <c r="M86" s="632"/>
      <c r="N86" s="632"/>
      <c r="O86" s="632"/>
      <c r="P86" s="632"/>
      <c r="Q86" s="632"/>
      <c r="R86" s="632"/>
      <c r="S86" s="632"/>
      <c r="T86" s="632"/>
      <c r="U86" s="632"/>
      <c r="V86" s="632"/>
    </row>
    <row r="87" spans="10:24" s="624" customFormat="1">
      <c r="K87" s="626"/>
      <c r="L87" s="632"/>
      <c r="M87" s="632"/>
      <c r="N87" s="632"/>
      <c r="O87" s="632"/>
      <c r="P87" s="632"/>
      <c r="Q87" s="632"/>
      <c r="R87" s="632"/>
      <c r="S87" s="632"/>
      <c r="T87" s="632"/>
      <c r="U87" s="632"/>
      <c r="V87" s="632"/>
    </row>
    <row r="88" spans="10:24" s="624" customFormat="1">
      <c r="K88" s="635" t="s">
        <v>136</v>
      </c>
      <c r="R88" s="644"/>
    </row>
    <row r="89" spans="10:24" s="624" customFormat="1">
      <c r="K89" s="634" t="s">
        <v>286</v>
      </c>
      <c r="L89" s="633">
        <f>SUM(L78:L79)+SUM(M78:M79)</f>
        <v>16246147.957694827</v>
      </c>
      <c r="M89" s="861"/>
      <c r="R89" s="644"/>
    </row>
    <row r="90" spans="10:24" s="624" customFormat="1">
      <c r="K90" s="630" t="s">
        <v>283</v>
      </c>
      <c r="L90" s="629">
        <f>L78+M78</f>
        <v>4457433.7924497649</v>
      </c>
      <c r="M90" s="632"/>
      <c r="Q90" s="863"/>
      <c r="R90" s="862"/>
      <c r="T90" s="632"/>
      <c r="U90" s="632"/>
      <c r="V90" s="632"/>
    </row>
    <row r="91" spans="10:24" s="624" customFormat="1">
      <c r="K91" s="630" t="s">
        <v>282</v>
      </c>
      <c r="L91" s="629">
        <f>L79+M79</f>
        <v>11788714.165245062</v>
      </c>
      <c r="M91" s="632"/>
      <c r="R91" s="644"/>
      <c r="T91" s="632"/>
      <c r="V91" s="632"/>
    </row>
    <row r="92" spans="10:24" s="624" customFormat="1">
      <c r="K92" s="630" t="s">
        <v>285</v>
      </c>
      <c r="L92" s="631">
        <f>SUM(N78:N79)+SUM(O78:O79)</f>
        <v>23409613.323610902</v>
      </c>
      <c r="M92" s="861"/>
      <c r="R92" s="644"/>
    </row>
    <row r="93" spans="10:24" s="624" customFormat="1">
      <c r="K93" s="630" t="s">
        <v>283</v>
      </c>
      <c r="L93" s="629">
        <f>N78+O78</f>
        <v>6410433.7924497649</v>
      </c>
      <c r="M93" s="632"/>
      <c r="R93" s="644"/>
    </row>
    <row r="94" spans="10:24" s="624" customFormat="1">
      <c r="K94" s="630" t="s">
        <v>282</v>
      </c>
      <c r="L94" s="629">
        <f>N79+O79</f>
        <v>16999179.531161137</v>
      </c>
      <c r="M94" s="632"/>
      <c r="R94" s="644"/>
    </row>
    <row r="95" spans="10:24" s="624" customFormat="1">
      <c r="K95" s="630" t="s">
        <v>284</v>
      </c>
      <c r="L95" s="631">
        <f>SUM(P78:P79)+SUM(Q78:Q79)</f>
        <v>14205241.865368217</v>
      </c>
      <c r="M95" s="861"/>
      <c r="R95" s="644"/>
    </row>
    <row r="96" spans="10:24" s="624" customFormat="1">
      <c r="K96" s="630" t="s">
        <v>283</v>
      </c>
      <c r="L96" s="629">
        <f>P78+Q78</f>
        <v>1947837.7924497649</v>
      </c>
      <c r="M96" s="632"/>
      <c r="R96" s="644"/>
    </row>
    <row r="97" spans="10:22" s="624" customFormat="1">
      <c r="K97" s="630" t="s">
        <v>282</v>
      </c>
      <c r="L97" s="629">
        <f>P79+Q79</f>
        <v>12257404.072918452</v>
      </c>
      <c r="M97" s="632"/>
      <c r="R97" s="644"/>
    </row>
    <row r="98" spans="10:22" s="624" customFormat="1">
      <c r="K98" s="628" t="s">
        <v>135</v>
      </c>
      <c r="L98" s="627">
        <f>L89+L92+L95</f>
        <v>53861003.146673948</v>
      </c>
      <c r="M98" s="861"/>
      <c r="R98" s="644"/>
    </row>
    <row r="99" spans="10:22" s="624" customFormat="1">
      <c r="K99" s="626"/>
      <c r="L99" s="860"/>
      <c r="M99" s="860"/>
      <c r="N99" s="860"/>
      <c r="R99" s="644"/>
    </row>
    <row r="100" spans="10:22" s="624" customFormat="1">
      <c r="K100" s="855" t="s">
        <v>294</v>
      </c>
      <c r="L100" s="859">
        <f t="shared" ref="L100:V100" si="32">SUM(L2:L3,L21)</f>
        <v>594596</v>
      </c>
      <c r="M100" s="859">
        <f t="shared" si="32"/>
        <v>3862837.7924497649</v>
      </c>
      <c r="N100" s="859">
        <f t="shared" si="32"/>
        <v>3591596</v>
      </c>
      <c r="O100" s="859">
        <f t="shared" si="32"/>
        <v>2818837.7924497649</v>
      </c>
      <c r="P100" s="859">
        <f t="shared" si="32"/>
        <v>1947837.7924497649</v>
      </c>
      <c r="Q100" s="859">
        <f t="shared" si="32"/>
        <v>0</v>
      </c>
      <c r="R100" s="859">
        <f t="shared" si="32"/>
        <v>12815705.377349295</v>
      </c>
      <c r="S100" s="859">
        <f t="shared" si="32"/>
        <v>12815705.377349295</v>
      </c>
      <c r="T100" s="859">
        <f t="shared" si="32"/>
        <v>0</v>
      </c>
      <c r="U100" s="859">
        <f t="shared" si="32"/>
        <v>0</v>
      </c>
      <c r="V100" s="859">
        <f t="shared" si="32"/>
        <v>0</v>
      </c>
    </row>
    <row r="101" spans="10:22" s="624" customFormat="1">
      <c r="K101" s="855" t="s">
        <v>293</v>
      </c>
      <c r="L101" s="859">
        <f t="shared" ref="L101:V101" si="33">SUM(L58:L69,L52:L56,L46:L49,L41:L43,L38,L33:L34,L29:L30,L17:L26,L7:L15,L4)-L21</f>
        <v>3366782.7214368791</v>
      </c>
      <c r="M101" s="859">
        <f t="shared" si="33"/>
        <v>8421931.4438081831</v>
      </c>
      <c r="N101" s="859">
        <f t="shared" si="33"/>
        <v>9073558.4838903192</v>
      </c>
      <c r="O101" s="859">
        <f t="shared" si="33"/>
        <v>7925621.0472708186</v>
      </c>
      <c r="P101" s="859">
        <f t="shared" si="33"/>
        <v>6368884.5233774344</v>
      </c>
      <c r="Q101" s="859">
        <f t="shared" si="33"/>
        <v>5888519.549541017</v>
      </c>
      <c r="R101" s="859">
        <f t="shared" si="33"/>
        <v>41045297.769324638</v>
      </c>
      <c r="S101" s="859">
        <f t="shared" si="33"/>
        <v>0</v>
      </c>
      <c r="T101" s="859">
        <f t="shared" si="33"/>
        <v>0</v>
      </c>
      <c r="U101" s="859">
        <f t="shared" si="33"/>
        <v>41045297.769324638</v>
      </c>
      <c r="V101" s="859">
        <f t="shared" si="33"/>
        <v>0</v>
      </c>
    </row>
    <row r="102" spans="10:22" s="624" customFormat="1">
      <c r="K102" s="855" t="s">
        <v>292</v>
      </c>
      <c r="L102" s="859">
        <f t="shared" ref="L102:V102" si="34">SUM(L27,L35:L36,L45,L5:L6)</f>
        <v>10589050.08119287</v>
      </c>
      <c r="M102" s="859">
        <f t="shared" si="34"/>
        <v>10581116.265758863</v>
      </c>
      <c r="N102" s="859">
        <f t="shared" si="34"/>
        <v>10336126.390311176</v>
      </c>
      <c r="O102" s="859">
        <f t="shared" si="34"/>
        <v>9791763.0617061071</v>
      </c>
      <c r="P102" s="859">
        <f t="shared" si="34"/>
        <v>10244994.279256051</v>
      </c>
      <c r="Q102" s="859">
        <f t="shared" si="34"/>
        <v>8009847.944040223</v>
      </c>
      <c r="R102" s="859">
        <f t="shared" si="34"/>
        <v>59552898.022265293</v>
      </c>
      <c r="S102" s="859">
        <f t="shared" si="34"/>
        <v>0</v>
      </c>
      <c r="T102" s="859">
        <f t="shared" si="34"/>
        <v>59552898.022265293</v>
      </c>
      <c r="U102" s="859">
        <f t="shared" si="34"/>
        <v>0</v>
      </c>
      <c r="V102" s="859">
        <f t="shared" si="34"/>
        <v>0</v>
      </c>
    </row>
    <row r="103" spans="10:22" s="624" customFormat="1">
      <c r="K103" s="855" t="s">
        <v>291</v>
      </c>
      <c r="L103" s="859">
        <f t="shared" ref="L103:V103" si="35">SUM(L28,L44,L57)</f>
        <v>5744369.4160385318</v>
      </c>
      <c r="M103" s="859">
        <f t="shared" si="35"/>
        <v>6550242.0390491653</v>
      </c>
      <c r="N103" s="859">
        <f t="shared" si="35"/>
        <v>6513866.7408326007</v>
      </c>
      <c r="O103" s="859">
        <f t="shared" si="35"/>
        <v>6478396.1924619991</v>
      </c>
      <c r="P103" s="859">
        <f t="shared" si="35"/>
        <v>6568953.9016929213</v>
      </c>
      <c r="Q103" s="859">
        <f t="shared" si="35"/>
        <v>5577714.5342810471</v>
      </c>
      <c r="R103" s="859">
        <f t="shared" si="35"/>
        <v>37433542.824356258</v>
      </c>
      <c r="S103" s="859">
        <f t="shared" si="35"/>
        <v>0</v>
      </c>
      <c r="T103" s="859">
        <f t="shared" si="35"/>
        <v>0</v>
      </c>
      <c r="U103" s="859">
        <f t="shared" si="35"/>
        <v>0</v>
      </c>
      <c r="V103" s="859">
        <f t="shared" si="35"/>
        <v>37433542.824356258</v>
      </c>
    </row>
    <row r="104" spans="10:22" s="624" customFormat="1">
      <c r="K104" s="856"/>
      <c r="L104" s="858"/>
      <c r="M104" s="856"/>
      <c r="N104" s="856"/>
      <c r="O104" s="856"/>
      <c r="P104" s="856"/>
      <c r="Q104" s="856"/>
      <c r="R104" s="857"/>
      <c r="S104" s="856"/>
      <c r="T104" s="856"/>
      <c r="U104" s="856"/>
      <c r="V104" s="856"/>
    </row>
    <row r="105" spans="10:22" s="624" customFormat="1">
      <c r="K105" s="855" t="s">
        <v>294</v>
      </c>
      <c r="L105" s="854">
        <f t="shared" ref="L105:V105" si="36">L100-L78</f>
        <v>0</v>
      </c>
      <c r="M105" s="854">
        <f t="shared" si="36"/>
        <v>0</v>
      </c>
      <c r="N105" s="854">
        <f t="shared" si="36"/>
        <v>0</v>
      </c>
      <c r="O105" s="854">
        <f t="shared" si="36"/>
        <v>0</v>
      </c>
      <c r="P105" s="854">
        <f t="shared" si="36"/>
        <v>0</v>
      </c>
      <c r="Q105" s="854">
        <f t="shared" si="36"/>
        <v>0</v>
      </c>
      <c r="R105" s="854">
        <f t="shared" si="36"/>
        <v>0</v>
      </c>
      <c r="S105" s="854">
        <f t="shared" si="36"/>
        <v>0</v>
      </c>
      <c r="T105" s="854">
        <f t="shared" si="36"/>
        <v>0</v>
      </c>
      <c r="U105" s="854">
        <f t="shared" si="36"/>
        <v>0</v>
      </c>
      <c r="V105" s="854">
        <f t="shared" si="36"/>
        <v>0</v>
      </c>
    </row>
    <row r="106" spans="10:22" s="624" customFormat="1">
      <c r="K106" s="855" t="s">
        <v>293</v>
      </c>
      <c r="L106" s="854">
        <f t="shared" ref="L106:V106" si="37">+L101-L79</f>
        <v>0</v>
      </c>
      <c r="M106" s="854">
        <f t="shared" si="37"/>
        <v>0</v>
      </c>
      <c r="N106" s="854">
        <f t="shared" si="37"/>
        <v>0</v>
      </c>
      <c r="O106" s="854">
        <f t="shared" si="37"/>
        <v>0</v>
      </c>
      <c r="P106" s="854">
        <f t="shared" si="37"/>
        <v>0</v>
      </c>
      <c r="Q106" s="854">
        <f t="shared" si="37"/>
        <v>0</v>
      </c>
      <c r="R106" s="854">
        <f t="shared" si="37"/>
        <v>16234551.730460744</v>
      </c>
      <c r="S106" s="854">
        <f t="shared" si="37"/>
        <v>0</v>
      </c>
      <c r="T106" s="854">
        <f t="shared" si="37"/>
        <v>0</v>
      </c>
      <c r="U106" s="854">
        <f t="shared" si="37"/>
        <v>16234551.730460744</v>
      </c>
      <c r="V106" s="854">
        <f t="shared" si="37"/>
        <v>0</v>
      </c>
    </row>
    <row r="107" spans="10:22" s="624" customFormat="1">
      <c r="K107" s="855" t="s">
        <v>292</v>
      </c>
      <c r="L107" s="854">
        <f t="shared" ref="L107:V107" si="38">+L80-L102</f>
        <v>0</v>
      </c>
      <c r="M107" s="854">
        <f t="shared" si="38"/>
        <v>0</v>
      </c>
      <c r="N107" s="854">
        <f t="shared" si="38"/>
        <v>0</v>
      </c>
      <c r="O107" s="854">
        <f t="shared" si="38"/>
        <v>0</v>
      </c>
      <c r="P107" s="854">
        <f t="shared" si="38"/>
        <v>0</v>
      </c>
      <c r="Q107" s="854">
        <f t="shared" si="38"/>
        <v>0</v>
      </c>
      <c r="R107" s="854">
        <f t="shared" si="38"/>
        <v>0</v>
      </c>
      <c r="S107" s="854">
        <f t="shared" si="38"/>
        <v>0</v>
      </c>
      <c r="T107" s="854">
        <f t="shared" si="38"/>
        <v>0</v>
      </c>
      <c r="U107" s="854">
        <f t="shared" si="38"/>
        <v>0</v>
      </c>
      <c r="V107" s="854">
        <f t="shared" si="38"/>
        <v>0</v>
      </c>
    </row>
    <row r="108" spans="10:22" s="624" customFormat="1">
      <c r="K108" s="855" t="s">
        <v>291</v>
      </c>
      <c r="L108" s="854">
        <f t="shared" ref="L108:V108" si="39">+L81-L103</f>
        <v>0</v>
      </c>
      <c r="M108" s="854">
        <f t="shared" si="39"/>
        <v>0</v>
      </c>
      <c r="N108" s="854">
        <f t="shared" si="39"/>
        <v>0</v>
      </c>
      <c r="O108" s="854">
        <f t="shared" si="39"/>
        <v>0</v>
      </c>
      <c r="P108" s="854">
        <f t="shared" si="39"/>
        <v>0</v>
      </c>
      <c r="Q108" s="854">
        <f t="shared" si="39"/>
        <v>0</v>
      </c>
      <c r="R108" s="854">
        <f t="shared" si="39"/>
        <v>0</v>
      </c>
      <c r="S108" s="854">
        <f t="shared" si="39"/>
        <v>0</v>
      </c>
      <c r="T108" s="854">
        <f t="shared" si="39"/>
        <v>0</v>
      </c>
      <c r="U108" s="854">
        <f t="shared" si="39"/>
        <v>0</v>
      </c>
      <c r="V108" s="854">
        <f t="shared" si="39"/>
        <v>0</v>
      </c>
    </row>
    <row r="111" spans="10:22" s="624" customFormat="1">
      <c r="J111" s="624" t="s">
        <v>361</v>
      </c>
      <c r="L111" s="632">
        <f t="shared" ref="L111:Q111" si="40">L2</f>
        <v>399000</v>
      </c>
      <c r="M111" s="632">
        <f t="shared" si="40"/>
        <v>3735241.7924497649</v>
      </c>
      <c r="N111" s="632">
        <f t="shared" si="40"/>
        <v>3464000</v>
      </c>
      <c r="O111" s="632">
        <f t="shared" si="40"/>
        <v>2691241.7924497649</v>
      </c>
      <c r="P111" s="632">
        <f t="shared" si="40"/>
        <v>1820241.7924497649</v>
      </c>
      <c r="Q111" s="632">
        <f t="shared" si="40"/>
        <v>0</v>
      </c>
      <c r="R111" s="644"/>
    </row>
    <row r="112" spans="10:22" s="624" customFormat="1">
      <c r="J112" s="624" t="s">
        <v>357</v>
      </c>
      <c r="L112" s="632">
        <f t="shared" ref="L112:Q112" si="41">L5</f>
        <v>1623251.527607837</v>
      </c>
      <c r="M112" s="632">
        <f t="shared" si="41"/>
        <v>1190257.5494776554</v>
      </c>
      <c r="N112" s="632">
        <f t="shared" si="41"/>
        <v>1011872.1286124199</v>
      </c>
      <c r="O112" s="632">
        <f t="shared" si="41"/>
        <v>879635.68742747116</v>
      </c>
      <c r="P112" s="632">
        <f t="shared" si="41"/>
        <v>1116578.7416456486</v>
      </c>
      <c r="Q112" s="632">
        <f t="shared" si="41"/>
        <v>0</v>
      </c>
      <c r="R112" s="644"/>
    </row>
    <row r="113" spans="10:23" s="624" customFormat="1">
      <c r="J113" s="624" t="s">
        <v>358</v>
      </c>
      <c r="L113" s="632">
        <f t="shared" ref="L113:Q113" si="42">L14</f>
        <v>102462.22752480001</v>
      </c>
      <c r="M113" s="632">
        <f t="shared" si="42"/>
        <v>933225.96829587861</v>
      </c>
      <c r="N113" s="632">
        <f t="shared" si="42"/>
        <v>1469105.0576462231</v>
      </c>
      <c r="O113" s="632">
        <f t="shared" si="42"/>
        <v>955757.77607441426</v>
      </c>
      <c r="P113" s="632">
        <f t="shared" si="42"/>
        <v>0</v>
      </c>
      <c r="Q113" s="632">
        <f t="shared" si="42"/>
        <v>0</v>
      </c>
      <c r="R113" s="644"/>
    </row>
    <row r="114" spans="10:23" s="624" customFormat="1">
      <c r="J114" s="624" t="s">
        <v>359</v>
      </c>
      <c r="L114" s="632">
        <f t="shared" ref="L114:V114" si="43">L7</f>
        <v>95281.114142720035</v>
      </c>
      <c r="M114" s="632">
        <f t="shared" si="43"/>
        <v>792252.4222145892</v>
      </c>
      <c r="N114" s="632">
        <f t="shared" si="43"/>
        <v>859558.58294395986</v>
      </c>
      <c r="O114" s="632">
        <f t="shared" si="43"/>
        <v>873873.28593928996</v>
      </c>
      <c r="P114" s="632">
        <f t="shared" si="43"/>
        <v>837773.39665006299</v>
      </c>
      <c r="Q114" s="632">
        <f t="shared" si="43"/>
        <v>824876.67740986426</v>
      </c>
      <c r="R114" s="632">
        <f t="shared" si="43"/>
        <v>4283615.4793004859</v>
      </c>
      <c r="S114" s="632">
        <f t="shared" si="43"/>
        <v>0</v>
      </c>
      <c r="T114" s="632">
        <f t="shared" si="43"/>
        <v>0</v>
      </c>
      <c r="U114" s="632">
        <f t="shared" si="43"/>
        <v>4283615.4793004859</v>
      </c>
      <c r="V114" s="632">
        <f t="shared" si="43"/>
        <v>0</v>
      </c>
    </row>
    <row r="115" spans="10:23" s="624" customFormat="1">
      <c r="J115" s="624" t="s">
        <v>360</v>
      </c>
      <c r="L115" s="632">
        <f t="shared" ref="L115:Q115" si="44">L33+L35</f>
        <v>1391976.3309900968</v>
      </c>
      <c r="M115" s="632">
        <f t="shared" si="44"/>
        <v>1804297.6344754759</v>
      </c>
      <c r="N115" s="632">
        <f t="shared" si="44"/>
        <v>1830349.0867843777</v>
      </c>
      <c r="O115" s="632">
        <f t="shared" si="44"/>
        <v>1959298.1728187525</v>
      </c>
      <c r="P115" s="632">
        <f t="shared" si="44"/>
        <v>1997185.3869396844</v>
      </c>
      <c r="Q115" s="632">
        <f t="shared" si="44"/>
        <v>766070.09322952572</v>
      </c>
      <c r="R115" s="644"/>
    </row>
    <row r="116" spans="10:23" s="624" customFormat="1" ht="15.75" thickBot="1">
      <c r="J116" s="696" t="s">
        <v>144</v>
      </c>
      <c r="K116" s="853"/>
      <c r="L116" s="852">
        <f t="shared" ref="L116:Q116" si="45">SUM(L111:L115)</f>
        <v>3611971.2002654541</v>
      </c>
      <c r="M116" s="852">
        <f t="shared" si="45"/>
        <v>8455275.3669133633</v>
      </c>
      <c r="N116" s="852">
        <f t="shared" si="45"/>
        <v>8634884.8559869807</v>
      </c>
      <c r="O116" s="852">
        <f t="shared" si="45"/>
        <v>7359806.7147096936</v>
      </c>
      <c r="P116" s="852">
        <f t="shared" si="45"/>
        <v>5771779.3176851608</v>
      </c>
      <c r="Q116" s="852">
        <f t="shared" si="45"/>
        <v>1590946.77063939</v>
      </c>
      <c r="R116" s="644"/>
      <c r="W116" s="861"/>
    </row>
  </sheetData>
  <mergeCells count="42">
    <mergeCell ref="D19:D26"/>
    <mergeCell ref="B39:C39"/>
    <mergeCell ref="A33:A39"/>
    <mergeCell ref="A41:A50"/>
    <mergeCell ref="B50:C50"/>
    <mergeCell ref="A2:A31"/>
    <mergeCell ref="B2:B15"/>
    <mergeCell ref="C7:C10"/>
    <mergeCell ref="C11:C13"/>
    <mergeCell ref="C19:C28"/>
    <mergeCell ref="D2:D4"/>
    <mergeCell ref="D11:D13"/>
    <mergeCell ref="D14:D15"/>
    <mergeCell ref="C2:C6"/>
    <mergeCell ref="D35:D36"/>
    <mergeCell ref="D33:D34"/>
    <mergeCell ref="C14:C15"/>
    <mergeCell ref="B16:C16"/>
    <mergeCell ref="A32:C32"/>
    <mergeCell ref="B31:C31"/>
    <mergeCell ref="C29:C30"/>
    <mergeCell ref="B17:B30"/>
    <mergeCell ref="D5:D6"/>
    <mergeCell ref="D7:D10"/>
    <mergeCell ref="D29:D30"/>
    <mergeCell ref="D27:D28"/>
    <mergeCell ref="D54:D55"/>
    <mergeCell ref="B52:B57"/>
    <mergeCell ref="C54:C55"/>
    <mergeCell ref="C33:C36"/>
    <mergeCell ref="C46:C47"/>
    <mergeCell ref="D48:D49"/>
    <mergeCell ref="A40:C40"/>
    <mergeCell ref="C41:C45"/>
    <mergeCell ref="A51:C51"/>
    <mergeCell ref="C48:C49"/>
    <mergeCell ref="B33:B36"/>
    <mergeCell ref="B41:B49"/>
    <mergeCell ref="B37:C37"/>
    <mergeCell ref="A52:A70"/>
    <mergeCell ref="B58:B63"/>
    <mergeCell ref="B64:B68"/>
  </mergeCells>
  <pageMargins left="0.7" right="0.7" top="0.75" bottom="0.75" header="0.3" footer="0.3"/>
  <pageSetup paperSize="9" scale="32" fitToHeight="0" orientation="landscape" r:id="rId1"/>
  <headerFooter>
    <oddHeader>&amp;CDetailed budget breakdown</oddHeader>
  </headerFooter>
</worksheet>
</file>

<file path=xl/worksheets/sheet20.xml><?xml version="1.0" encoding="utf-8"?>
<worksheet xmlns="http://schemas.openxmlformats.org/spreadsheetml/2006/main" xmlns:r="http://schemas.openxmlformats.org/officeDocument/2006/relationships">
  <dimension ref="A1:X66"/>
  <sheetViews>
    <sheetView showGridLines="0" zoomScale="70" zoomScaleNormal="70" workbookViewId="0">
      <selection sqref="A1:XFD1048576"/>
    </sheetView>
  </sheetViews>
  <sheetFormatPr defaultColWidth="9" defaultRowHeight="15"/>
  <cols>
    <col min="1" max="1" width="76.140625" style="98" customWidth="1"/>
    <col min="2" max="2" width="15.85546875" style="98" bestFit="1" customWidth="1"/>
    <col min="3" max="4" width="16.42578125" style="98" bestFit="1" customWidth="1"/>
    <col min="5" max="21" width="15.85546875" style="98" customWidth="1"/>
    <col min="22" max="22" width="15.85546875" style="99" customWidth="1"/>
    <col min="23" max="23" width="15.85546875" style="100" customWidth="1"/>
    <col min="24" max="24" width="9" style="101"/>
    <col min="25" max="16384" width="9" style="98"/>
  </cols>
  <sheetData>
    <row r="1" spans="1:24" s="18" customFormat="1" ht="15.75" thickBot="1">
      <c r="A1" s="131" t="s">
        <v>32</v>
      </c>
      <c r="B1" s="132"/>
      <c r="C1" s="132"/>
      <c r="D1" s="132"/>
      <c r="E1" s="132"/>
      <c r="F1" s="132"/>
      <c r="G1" s="132"/>
      <c r="H1" s="132"/>
      <c r="I1" s="132"/>
      <c r="J1" s="132"/>
      <c r="K1" s="132"/>
      <c r="L1" s="132"/>
      <c r="M1" s="132"/>
      <c r="N1" s="132"/>
      <c r="O1" s="132"/>
      <c r="P1" s="132"/>
      <c r="Q1" s="132"/>
      <c r="R1" s="132"/>
      <c r="S1" s="132"/>
      <c r="T1" s="132"/>
      <c r="U1" s="132"/>
      <c r="V1" s="132"/>
      <c r="W1" s="133"/>
      <c r="X1" s="17"/>
    </row>
    <row r="2" spans="1:24" s="18" customFormat="1" ht="14.25">
      <c r="A2" s="19"/>
      <c r="B2" s="20" t="s">
        <v>12</v>
      </c>
      <c r="C2" s="20"/>
      <c r="D2" s="20"/>
      <c r="E2" s="20"/>
      <c r="F2" s="20"/>
      <c r="G2" s="20"/>
      <c r="H2" s="20"/>
      <c r="I2" s="20"/>
      <c r="J2" s="20"/>
      <c r="K2" s="20"/>
      <c r="L2" s="20"/>
      <c r="M2" s="20"/>
      <c r="N2" s="20"/>
      <c r="O2" s="20"/>
      <c r="P2" s="20"/>
      <c r="Q2" s="20"/>
      <c r="R2" s="20"/>
      <c r="S2" s="20"/>
      <c r="T2" s="20"/>
      <c r="U2" s="20"/>
      <c r="V2" s="21"/>
      <c r="W2" s="22"/>
      <c r="X2" s="17"/>
    </row>
    <row r="3" spans="1:24" s="18" customFormat="1" ht="14.25">
      <c r="A3" s="23"/>
      <c r="B3" s="24"/>
      <c r="C3" s="25">
        <v>2023</v>
      </c>
      <c r="D3" s="25">
        <v>2024</v>
      </c>
      <c r="E3" s="25">
        <v>2025</v>
      </c>
      <c r="F3" s="25">
        <v>2026</v>
      </c>
      <c r="G3" s="25">
        <v>2027</v>
      </c>
      <c r="H3" s="25">
        <v>2028</v>
      </c>
      <c r="I3" s="25">
        <v>2029</v>
      </c>
      <c r="J3" s="25">
        <v>2030</v>
      </c>
      <c r="K3" s="25">
        <v>2031</v>
      </c>
      <c r="L3" s="25">
        <v>2032</v>
      </c>
      <c r="M3" s="25">
        <v>2033</v>
      </c>
      <c r="N3" s="25">
        <v>2034</v>
      </c>
      <c r="O3" s="25">
        <v>2035</v>
      </c>
      <c r="P3" s="25">
        <v>2036</v>
      </c>
      <c r="Q3" s="25">
        <v>2037</v>
      </c>
      <c r="R3" s="25">
        <v>2038</v>
      </c>
      <c r="S3" s="25">
        <v>2039</v>
      </c>
      <c r="T3" s="25">
        <v>2040</v>
      </c>
      <c r="U3" s="25">
        <v>2041</v>
      </c>
      <c r="V3" s="26">
        <v>2042</v>
      </c>
      <c r="W3" s="27"/>
      <c r="X3" s="17"/>
    </row>
    <row r="4" spans="1:24" s="18" customFormat="1" ht="14.25">
      <c r="A4" s="28" t="s">
        <v>33</v>
      </c>
      <c r="B4" s="29"/>
      <c r="C4" s="30"/>
      <c r="D4" s="30"/>
      <c r="E4" s="30"/>
      <c r="F4" s="30"/>
      <c r="G4" s="30"/>
      <c r="H4" s="30"/>
      <c r="I4" s="30"/>
      <c r="J4" s="31"/>
      <c r="K4" s="32"/>
      <c r="L4" s="32"/>
      <c r="M4" s="32"/>
      <c r="N4" s="32"/>
      <c r="O4" s="32"/>
      <c r="P4" s="32"/>
      <c r="Q4" s="32"/>
      <c r="R4" s="32"/>
      <c r="S4" s="32"/>
      <c r="T4" s="32"/>
      <c r="U4" s="32"/>
      <c r="V4" s="33"/>
      <c r="W4" s="34"/>
      <c r="X4" s="17"/>
    </row>
    <row r="5" spans="1:24" s="18" customFormat="1" ht="14.25">
      <c r="A5" s="28" t="s">
        <v>13</v>
      </c>
      <c r="B5" s="35" t="s">
        <v>1</v>
      </c>
      <c r="C5" s="36">
        <v>1070566</v>
      </c>
      <c r="D5" s="36">
        <v>3872260</v>
      </c>
      <c r="E5" s="36">
        <v>5808390</v>
      </c>
      <c r="F5" s="36">
        <v>11206776</v>
      </c>
      <c r="G5" s="36">
        <v>14008470</v>
      </c>
      <c r="H5" s="36">
        <v>14008470</v>
      </c>
      <c r="I5" s="36">
        <v>14008470</v>
      </c>
      <c r="J5" s="36">
        <v>14008470</v>
      </c>
      <c r="K5" s="36">
        <v>14008470</v>
      </c>
      <c r="L5" s="36">
        <v>14008470</v>
      </c>
      <c r="M5" s="36">
        <v>14008470</v>
      </c>
      <c r="N5" s="36">
        <v>14008470</v>
      </c>
      <c r="O5" s="36">
        <v>14008470</v>
      </c>
      <c r="P5" s="36">
        <v>14008470</v>
      </c>
      <c r="Q5" s="36">
        <v>14008470</v>
      </c>
      <c r="R5" s="36">
        <v>14008470</v>
      </c>
      <c r="S5" s="36">
        <v>14008470</v>
      </c>
      <c r="T5" s="36">
        <v>14008470</v>
      </c>
      <c r="U5" s="36">
        <v>14008470</v>
      </c>
      <c r="V5" s="36">
        <v>14008470</v>
      </c>
      <c r="W5" s="5"/>
      <c r="X5" s="17"/>
    </row>
    <row r="6" spans="1:24" s="18" customFormat="1" ht="14.25">
      <c r="A6" s="38" t="s">
        <v>14</v>
      </c>
      <c r="B6" s="35" t="s">
        <v>1</v>
      </c>
      <c r="C6" s="36">
        <v>271709</v>
      </c>
      <c r="D6" s="36">
        <v>852548</v>
      </c>
      <c r="E6" s="36">
        <v>3597297</v>
      </c>
      <c r="F6" s="36">
        <v>6032916</v>
      </c>
      <c r="G6" s="36">
        <v>7541145</v>
      </c>
      <c r="H6" s="36">
        <v>7541145</v>
      </c>
      <c r="I6" s="36">
        <v>7541145</v>
      </c>
      <c r="J6" s="36">
        <v>7541145</v>
      </c>
      <c r="K6" s="36">
        <v>7541145</v>
      </c>
      <c r="L6" s="36">
        <v>7541145</v>
      </c>
      <c r="M6" s="36">
        <v>7541145</v>
      </c>
      <c r="N6" s="36">
        <v>7541145</v>
      </c>
      <c r="O6" s="36">
        <v>7541145</v>
      </c>
      <c r="P6" s="36">
        <v>7541145</v>
      </c>
      <c r="Q6" s="36">
        <v>7541145</v>
      </c>
      <c r="R6" s="36">
        <v>7541145</v>
      </c>
      <c r="S6" s="36">
        <v>7541145</v>
      </c>
      <c r="T6" s="36">
        <v>7541145</v>
      </c>
      <c r="U6" s="36">
        <v>7541145</v>
      </c>
      <c r="V6" s="36">
        <v>7541145</v>
      </c>
      <c r="W6" s="5"/>
      <c r="X6" s="17"/>
    </row>
    <row r="7" spans="1:24" s="18" customFormat="1" ht="14.25">
      <c r="A7" s="38" t="s">
        <v>15</v>
      </c>
      <c r="B7" s="35" t="s">
        <v>1</v>
      </c>
      <c r="C7" s="36">
        <v>364448</v>
      </c>
      <c r="D7" s="36">
        <v>1718112</v>
      </c>
      <c r="E7" s="36">
        <v>3319080</v>
      </c>
      <c r="F7" s="36">
        <v>7393088</v>
      </c>
      <c r="G7" s="36">
        <v>9241360</v>
      </c>
      <c r="H7" s="36">
        <v>9241360</v>
      </c>
      <c r="I7" s="36">
        <v>9241360</v>
      </c>
      <c r="J7" s="36">
        <v>9241360</v>
      </c>
      <c r="K7" s="36">
        <v>9241360</v>
      </c>
      <c r="L7" s="36">
        <v>9241360</v>
      </c>
      <c r="M7" s="36">
        <v>9241360</v>
      </c>
      <c r="N7" s="36">
        <v>9241360</v>
      </c>
      <c r="O7" s="36">
        <v>9241360</v>
      </c>
      <c r="P7" s="36">
        <v>9241360</v>
      </c>
      <c r="Q7" s="36">
        <v>9241360</v>
      </c>
      <c r="R7" s="36">
        <v>9241360</v>
      </c>
      <c r="S7" s="36">
        <v>9241360</v>
      </c>
      <c r="T7" s="36">
        <v>9241360</v>
      </c>
      <c r="U7" s="36">
        <v>9241360</v>
      </c>
      <c r="V7" s="36">
        <v>9241360</v>
      </c>
      <c r="W7" s="5"/>
      <c r="X7" s="17"/>
    </row>
    <row r="8" spans="1:24" s="18" customFormat="1" ht="14.25">
      <c r="A8" s="39" t="s">
        <v>16</v>
      </c>
      <c r="B8" s="40" t="s">
        <v>1</v>
      </c>
      <c r="C8" s="36">
        <v>312384</v>
      </c>
      <c r="D8" s="36">
        <v>3097808</v>
      </c>
      <c r="E8" s="36">
        <v>6501492</v>
      </c>
      <c r="F8" s="36">
        <v>11141696</v>
      </c>
      <c r="G8" s="36">
        <v>13927120</v>
      </c>
      <c r="H8" s="36">
        <v>13927120</v>
      </c>
      <c r="I8" s="36">
        <v>13927120</v>
      </c>
      <c r="J8" s="36">
        <v>13927120</v>
      </c>
      <c r="K8" s="36">
        <v>13927120</v>
      </c>
      <c r="L8" s="36">
        <v>13927120</v>
      </c>
      <c r="M8" s="36">
        <v>13927120</v>
      </c>
      <c r="N8" s="36">
        <v>13927120</v>
      </c>
      <c r="O8" s="36">
        <v>13927120</v>
      </c>
      <c r="P8" s="36">
        <v>13927120</v>
      </c>
      <c r="Q8" s="36">
        <v>13927120</v>
      </c>
      <c r="R8" s="36">
        <v>13927120</v>
      </c>
      <c r="S8" s="36">
        <v>13927120</v>
      </c>
      <c r="T8" s="36">
        <v>13927120</v>
      </c>
      <c r="U8" s="36">
        <v>13927120</v>
      </c>
      <c r="V8" s="36">
        <v>13927120</v>
      </c>
      <c r="W8" s="5"/>
      <c r="X8" s="17"/>
    </row>
    <row r="9" spans="1:24" s="18" customFormat="1" ht="14.25">
      <c r="A9" s="39" t="s">
        <v>17</v>
      </c>
      <c r="B9" s="40" t="s">
        <v>1</v>
      </c>
      <c r="C9" s="36">
        <v>3308504.5</v>
      </c>
      <c r="D9" s="36">
        <v>7812853.9999999972</v>
      </c>
      <c r="E9" s="36">
        <v>13513048.499999996</v>
      </c>
      <c r="F9" s="36">
        <v>22800778</v>
      </c>
      <c r="G9" s="36">
        <v>28500972.5</v>
      </c>
      <c r="H9" s="36">
        <v>28500972.5</v>
      </c>
      <c r="I9" s="36">
        <v>28500972.5</v>
      </c>
      <c r="J9" s="36">
        <v>28500972.5</v>
      </c>
      <c r="K9" s="36">
        <v>28500972.5</v>
      </c>
      <c r="L9" s="36">
        <v>28500972.5</v>
      </c>
      <c r="M9" s="36">
        <v>28500972.5</v>
      </c>
      <c r="N9" s="36">
        <v>28500972.5</v>
      </c>
      <c r="O9" s="36">
        <v>28500972.5</v>
      </c>
      <c r="P9" s="36">
        <v>28500972.5</v>
      </c>
      <c r="Q9" s="36">
        <v>28500972.5</v>
      </c>
      <c r="R9" s="36">
        <v>28500972.5</v>
      </c>
      <c r="S9" s="36">
        <v>28500972.5</v>
      </c>
      <c r="T9" s="36">
        <v>28500972.5</v>
      </c>
      <c r="U9" s="36">
        <v>28500972.5</v>
      </c>
      <c r="V9" s="36">
        <v>28500972.5</v>
      </c>
      <c r="W9" s="5"/>
      <c r="X9" s="17"/>
    </row>
    <row r="10" spans="1:24" s="18" customFormat="1" thickBot="1">
      <c r="A10" s="434" t="s">
        <v>45</v>
      </c>
      <c r="B10" s="42" t="s">
        <v>1</v>
      </c>
      <c r="C10" s="36">
        <v>120499.6875</v>
      </c>
      <c r="D10" s="36">
        <v>240999.375</v>
      </c>
      <c r="E10" s="36">
        <v>361499.0625</v>
      </c>
      <c r="F10" s="36">
        <v>481998.75</v>
      </c>
      <c r="G10" s="36">
        <v>602498.4375</v>
      </c>
      <c r="H10" s="36">
        <v>602498.4375</v>
      </c>
      <c r="I10" s="36">
        <v>602498.4375</v>
      </c>
      <c r="J10" s="36">
        <v>602498.4375</v>
      </c>
      <c r="K10" s="36">
        <v>602498.4375</v>
      </c>
      <c r="L10" s="36">
        <v>602498.4375</v>
      </c>
      <c r="M10" s="36">
        <v>602498.4375</v>
      </c>
      <c r="N10" s="36">
        <v>602498.4375</v>
      </c>
      <c r="O10" s="36">
        <v>602498.4375</v>
      </c>
      <c r="P10" s="36">
        <v>602498.4375</v>
      </c>
      <c r="Q10" s="36">
        <v>602498.4375</v>
      </c>
      <c r="R10" s="36">
        <v>602498.4375</v>
      </c>
      <c r="S10" s="36">
        <v>602498.4375</v>
      </c>
      <c r="T10" s="36">
        <v>602498.4375</v>
      </c>
      <c r="U10" s="36">
        <v>602498.4375</v>
      </c>
      <c r="V10" s="36">
        <v>602498.4375</v>
      </c>
      <c r="W10" s="5"/>
      <c r="X10" s="17"/>
    </row>
    <row r="11" spans="1:24" s="48" customFormat="1" thickBot="1">
      <c r="A11" s="43" t="s">
        <v>19</v>
      </c>
      <c r="B11" s="44" t="s">
        <v>1</v>
      </c>
      <c r="C11" s="45">
        <v>5448111.1875</v>
      </c>
      <c r="D11" s="45">
        <v>17594581.374999996</v>
      </c>
      <c r="E11" s="45">
        <v>33100806.562499996</v>
      </c>
      <c r="F11" s="45">
        <v>59057252.75</v>
      </c>
      <c r="G11" s="45">
        <v>73821565.9375</v>
      </c>
      <c r="H11" s="45">
        <v>73821565.9375</v>
      </c>
      <c r="I11" s="45">
        <v>73821565.9375</v>
      </c>
      <c r="J11" s="45">
        <v>73821565.9375</v>
      </c>
      <c r="K11" s="45">
        <v>73821565.9375</v>
      </c>
      <c r="L11" s="45">
        <v>73821565.9375</v>
      </c>
      <c r="M11" s="45">
        <v>73821565.9375</v>
      </c>
      <c r="N11" s="45">
        <v>73821565.9375</v>
      </c>
      <c r="O11" s="45">
        <v>73821565.9375</v>
      </c>
      <c r="P11" s="45">
        <v>73821565.9375</v>
      </c>
      <c r="Q11" s="45">
        <v>73821565.9375</v>
      </c>
      <c r="R11" s="45">
        <v>73821565.9375</v>
      </c>
      <c r="S11" s="45">
        <v>73821565.9375</v>
      </c>
      <c r="T11" s="45">
        <v>73821565.9375</v>
      </c>
      <c r="U11" s="45">
        <v>73821565.9375</v>
      </c>
      <c r="V11" s="46">
        <v>73821565.9375</v>
      </c>
      <c r="W11" s="14"/>
      <c r="X11" s="47"/>
    </row>
    <row r="12" spans="1:24" s="18" customFormat="1" ht="14.25">
      <c r="A12" s="49" t="s">
        <v>3</v>
      </c>
      <c r="B12" s="50"/>
      <c r="C12" s="36"/>
      <c r="D12" s="36"/>
      <c r="E12" s="36"/>
      <c r="F12" s="36"/>
      <c r="G12" s="36"/>
      <c r="H12" s="36"/>
      <c r="I12" s="36"/>
      <c r="J12" s="36"/>
      <c r="K12" s="36"/>
      <c r="L12" s="36"/>
      <c r="M12" s="36"/>
      <c r="N12" s="36"/>
      <c r="O12" s="36"/>
      <c r="P12" s="36"/>
      <c r="Q12" s="36"/>
      <c r="R12" s="36"/>
      <c r="S12" s="36"/>
      <c r="T12" s="36"/>
      <c r="U12" s="36"/>
      <c r="V12" s="37"/>
      <c r="W12" s="5"/>
      <c r="X12" s="17"/>
    </row>
    <row r="13" spans="1:24" s="18" customFormat="1" ht="14.25">
      <c r="A13" s="41" t="s">
        <v>35</v>
      </c>
      <c r="B13" s="35" t="s">
        <v>1</v>
      </c>
      <c r="C13" s="36">
        <v>1164319.1269542065</v>
      </c>
      <c r="D13" s="36">
        <v>1164319.1269542065</v>
      </c>
      <c r="E13" s="36">
        <v>1164319.1269542065</v>
      </c>
      <c r="F13" s="36">
        <v>1164319.1269542065</v>
      </c>
      <c r="G13" s="36">
        <v>1164319.1269542065</v>
      </c>
      <c r="H13" s="36"/>
      <c r="I13" s="36"/>
      <c r="J13" s="36"/>
      <c r="K13" s="36"/>
      <c r="L13" s="36"/>
      <c r="M13" s="36"/>
      <c r="N13" s="36"/>
      <c r="O13" s="36"/>
      <c r="P13" s="36"/>
      <c r="Q13" s="36"/>
      <c r="R13" s="36"/>
      <c r="S13" s="36"/>
      <c r="T13" s="36"/>
      <c r="U13" s="36"/>
      <c r="V13" s="37"/>
      <c r="W13" s="5"/>
      <c r="X13" s="17"/>
    </row>
    <row r="14" spans="1:24" s="18" customFormat="1" ht="14.25">
      <c r="A14" s="51" t="s">
        <v>13</v>
      </c>
      <c r="B14" s="35" t="s">
        <v>1</v>
      </c>
      <c r="C14" s="36">
        <v>2486218.7000000002</v>
      </c>
      <c r="D14" s="36">
        <v>4972437.4000000004</v>
      </c>
      <c r="E14" s="36">
        <v>7458656.0999999996</v>
      </c>
      <c r="F14" s="36">
        <v>9944874.8000000007</v>
      </c>
      <c r="G14" s="36">
        <v>12431093.5</v>
      </c>
      <c r="H14" s="36">
        <v>12431093.5</v>
      </c>
      <c r="I14" s="36">
        <v>12431093.5</v>
      </c>
      <c r="J14" s="36">
        <v>12431093.5</v>
      </c>
      <c r="K14" s="36">
        <v>12431093.5</v>
      </c>
      <c r="L14" s="36">
        <v>12431093.5</v>
      </c>
      <c r="M14" s="36">
        <v>12431093.5</v>
      </c>
      <c r="N14" s="36">
        <v>12431093.5</v>
      </c>
      <c r="O14" s="36">
        <v>12431093.5</v>
      </c>
      <c r="P14" s="36">
        <v>12431093.5</v>
      </c>
      <c r="Q14" s="36">
        <v>12431093.5</v>
      </c>
      <c r="R14" s="36">
        <v>12431093.5</v>
      </c>
      <c r="S14" s="36">
        <v>12431093.5</v>
      </c>
      <c r="T14" s="36">
        <v>12431093.5</v>
      </c>
      <c r="U14" s="36">
        <v>12431093.5</v>
      </c>
      <c r="V14" s="36">
        <v>12431093.5</v>
      </c>
      <c r="W14" s="5"/>
      <c r="X14" s="17"/>
    </row>
    <row r="15" spans="1:24" s="48" customFormat="1" ht="14.25">
      <c r="A15" s="38" t="s">
        <v>14</v>
      </c>
      <c r="B15" s="35" t="s">
        <v>1</v>
      </c>
      <c r="C15" s="36">
        <v>1145408</v>
      </c>
      <c r="D15" s="36">
        <v>2290816</v>
      </c>
      <c r="E15" s="36">
        <v>3436224</v>
      </c>
      <c r="F15" s="36">
        <v>4581632</v>
      </c>
      <c r="G15" s="36">
        <v>5727040</v>
      </c>
      <c r="H15" s="36">
        <v>5727040</v>
      </c>
      <c r="I15" s="36">
        <v>5727040</v>
      </c>
      <c r="J15" s="36">
        <v>5727040</v>
      </c>
      <c r="K15" s="36">
        <v>5727040</v>
      </c>
      <c r="L15" s="36">
        <v>5727040</v>
      </c>
      <c r="M15" s="36">
        <v>5727040</v>
      </c>
      <c r="N15" s="36">
        <v>5727040</v>
      </c>
      <c r="O15" s="36">
        <v>5727040</v>
      </c>
      <c r="P15" s="36">
        <v>5727040</v>
      </c>
      <c r="Q15" s="36">
        <v>5727040</v>
      </c>
      <c r="R15" s="36">
        <v>5727040</v>
      </c>
      <c r="S15" s="36">
        <v>5727040</v>
      </c>
      <c r="T15" s="36">
        <v>5727040</v>
      </c>
      <c r="U15" s="36">
        <v>5727040</v>
      </c>
      <c r="V15" s="36">
        <v>5727040</v>
      </c>
      <c r="W15" s="5"/>
      <c r="X15" s="47"/>
    </row>
    <row r="16" spans="1:24" s="48" customFormat="1" ht="14.25">
      <c r="A16" s="38" t="s">
        <v>15</v>
      </c>
      <c r="B16" s="35" t="s">
        <v>1</v>
      </c>
      <c r="C16" s="36">
        <v>1436803.7</v>
      </c>
      <c r="D16" s="36">
        <v>2873607.4</v>
      </c>
      <c r="E16" s="36">
        <v>4310411.0999999996</v>
      </c>
      <c r="F16" s="36">
        <v>5747214.7999999998</v>
      </c>
      <c r="G16" s="36">
        <v>7184018.5</v>
      </c>
      <c r="H16" s="36">
        <v>7184018.5</v>
      </c>
      <c r="I16" s="36">
        <v>7184018.5</v>
      </c>
      <c r="J16" s="36">
        <v>7184018.5</v>
      </c>
      <c r="K16" s="36">
        <v>7184018.5</v>
      </c>
      <c r="L16" s="36">
        <v>7184018.5</v>
      </c>
      <c r="M16" s="36">
        <v>7184018.5</v>
      </c>
      <c r="N16" s="36">
        <v>7184018.5</v>
      </c>
      <c r="O16" s="36">
        <v>7184018.5</v>
      </c>
      <c r="P16" s="36">
        <v>7184018.5</v>
      </c>
      <c r="Q16" s="36">
        <v>7184018.5</v>
      </c>
      <c r="R16" s="36">
        <v>7184018.5</v>
      </c>
      <c r="S16" s="36">
        <v>7184018.5</v>
      </c>
      <c r="T16" s="36">
        <v>7184018.5</v>
      </c>
      <c r="U16" s="36">
        <v>7184018.5</v>
      </c>
      <c r="V16" s="36">
        <v>7184018.5</v>
      </c>
      <c r="W16" s="5"/>
      <c r="X16" s="47"/>
    </row>
    <row r="17" spans="1:24" s="48" customFormat="1" ht="14.25">
      <c r="A17" s="39" t="s">
        <v>16</v>
      </c>
      <c r="B17" s="40" t="s">
        <v>1</v>
      </c>
      <c r="C17" s="36">
        <v>2245260</v>
      </c>
      <c r="D17" s="36">
        <v>4490520</v>
      </c>
      <c r="E17" s="36">
        <v>6735780</v>
      </c>
      <c r="F17" s="36">
        <v>8981040</v>
      </c>
      <c r="G17" s="36">
        <v>11226300</v>
      </c>
      <c r="H17" s="36">
        <v>11226300</v>
      </c>
      <c r="I17" s="36">
        <v>11226300</v>
      </c>
      <c r="J17" s="36">
        <v>11226300</v>
      </c>
      <c r="K17" s="36">
        <v>11226300</v>
      </c>
      <c r="L17" s="36">
        <v>11226300</v>
      </c>
      <c r="M17" s="36">
        <v>11226300</v>
      </c>
      <c r="N17" s="36">
        <v>11226300</v>
      </c>
      <c r="O17" s="36">
        <v>11226300</v>
      </c>
      <c r="P17" s="36">
        <v>11226300</v>
      </c>
      <c r="Q17" s="36">
        <v>11226300</v>
      </c>
      <c r="R17" s="36">
        <v>11226300</v>
      </c>
      <c r="S17" s="36">
        <v>11226300</v>
      </c>
      <c r="T17" s="36">
        <v>11226300</v>
      </c>
      <c r="U17" s="36">
        <v>11226300</v>
      </c>
      <c r="V17" s="36">
        <v>11226300</v>
      </c>
      <c r="W17" s="5"/>
      <c r="X17" s="47"/>
    </row>
    <row r="18" spans="1:24" s="18" customFormat="1" thickBot="1">
      <c r="A18" s="39" t="s">
        <v>17</v>
      </c>
      <c r="B18" s="40" t="s">
        <v>1</v>
      </c>
      <c r="C18" s="36">
        <v>5171460.1749999998</v>
      </c>
      <c r="D18" s="36">
        <v>10342920.35</v>
      </c>
      <c r="E18" s="36">
        <v>15514380.525</v>
      </c>
      <c r="F18" s="36">
        <v>20685840.699999999</v>
      </c>
      <c r="G18" s="36">
        <v>25857300.875</v>
      </c>
      <c r="H18" s="36">
        <v>25857300.875</v>
      </c>
      <c r="I18" s="36">
        <v>25857300.875</v>
      </c>
      <c r="J18" s="36">
        <v>25857300.875</v>
      </c>
      <c r="K18" s="36">
        <v>25857300.875</v>
      </c>
      <c r="L18" s="36">
        <v>25857300.875</v>
      </c>
      <c r="M18" s="36">
        <v>25857300.875</v>
      </c>
      <c r="N18" s="36">
        <v>25857300.875</v>
      </c>
      <c r="O18" s="36">
        <v>25857300.875</v>
      </c>
      <c r="P18" s="36">
        <v>25857300.875</v>
      </c>
      <c r="Q18" s="36">
        <v>25857300.875</v>
      </c>
      <c r="R18" s="36">
        <v>25857300.875</v>
      </c>
      <c r="S18" s="36">
        <v>25857300.875</v>
      </c>
      <c r="T18" s="36">
        <v>25857300.875</v>
      </c>
      <c r="U18" s="36">
        <v>25857300.875</v>
      </c>
      <c r="V18" s="36">
        <v>25857300.875</v>
      </c>
      <c r="W18" s="5"/>
      <c r="X18" s="17"/>
    </row>
    <row r="19" spans="1:24" s="48" customFormat="1" thickBot="1">
      <c r="A19" s="52" t="s">
        <v>21</v>
      </c>
      <c r="B19" s="44" t="s">
        <v>1</v>
      </c>
      <c r="C19" s="45">
        <v>13649469.701954208</v>
      </c>
      <c r="D19" s="45">
        <v>26134620.276954208</v>
      </c>
      <c r="E19" s="45">
        <v>38619770.851954207</v>
      </c>
      <c r="F19" s="45">
        <v>51104921.42695421</v>
      </c>
      <c r="G19" s="45">
        <v>63590072.001954205</v>
      </c>
      <c r="H19" s="45">
        <v>62425752.875</v>
      </c>
      <c r="I19" s="45">
        <v>62425752.875</v>
      </c>
      <c r="J19" s="45">
        <v>62425752.875</v>
      </c>
      <c r="K19" s="45">
        <v>62425752.875</v>
      </c>
      <c r="L19" s="45">
        <v>62425752.875</v>
      </c>
      <c r="M19" s="45">
        <v>62425752.875</v>
      </c>
      <c r="N19" s="45">
        <v>62425752.875</v>
      </c>
      <c r="O19" s="45">
        <v>62425752.875</v>
      </c>
      <c r="P19" s="45">
        <v>62425752.875</v>
      </c>
      <c r="Q19" s="45">
        <v>62425752.875</v>
      </c>
      <c r="R19" s="45">
        <v>62425752.875</v>
      </c>
      <c r="S19" s="45">
        <v>62425752.875</v>
      </c>
      <c r="T19" s="45">
        <v>62425752.875</v>
      </c>
      <c r="U19" s="45">
        <v>62425752.875</v>
      </c>
      <c r="V19" s="46">
        <v>62425752.875</v>
      </c>
      <c r="W19" s="14"/>
      <c r="X19" s="47"/>
    </row>
    <row r="20" spans="1:24" s="48" customFormat="1" ht="14.25">
      <c r="A20" s="53" t="s">
        <v>0</v>
      </c>
      <c r="B20" s="54" t="s">
        <v>1</v>
      </c>
      <c r="C20" s="45">
        <v>-8201358.5144542083</v>
      </c>
      <c r="D20" s="45">
        <v>-8540038.9019542113</v>
      </c>
      <c r="E20" s="45">
        <v>-5518964.2894542105</v>
      </c>
      <c r="F20" s="45">
        <v>7952331.3230457902</v>
      </c>
      <c r="G20" s="45">
        <v>10231493.935545795</v>
      </c>
      <c r="H20" s="45">
        <v>11395813.0625</v>
      </c>
      <c r="I20" s="45">
        <v>11395813.0625</v>
      </c>
      <c r="J20" s="45">
        <v>11395813.0625</v>
      </c>
      <c r="K20" s="45">
        <v>11395813.0625</v>
      </c>
      <c r="L20" s="45">
        <v>11395813.0625</v>
      </c>
      <c r="M20" s="45">
        <v>11395813.0625</v>
      </c>
      <c r="N20" s="45">
        <v>11395813.0625</v>
      </c>
      <c r="O20" s="45">
        <v>11395813.0625</v>
      </c>
      <c r="P20" s="45">
        <v>11395813.0625</v>
      </c>
      <c r="Q20" s="45">
        <v>11395813.0625</v>
      </c>
      <c r="R20" s="45">
        <v>11395813.0625</v>
      </c>
      <c r="S20" s="45">
        <v>11395813.0625</v>
      </c>
      <c r="T20" s="45">
        <v>11395813.0625</v>
      </c>
      <c r="U20" s="45">
        <v>11395813.0625</v>
      </c>
      <c r="V20" s="46">
        <v>11395813.0625</v>
      </c>
      <c r="W20" s="14"/>
      <c r="X20" s="47"/>
    </row>
    <row r="21" spans="1:24" s="18" customFormat="1" ht="14.25">
      <c r="A21" s="55"/>
      <c r="B21" s="56"/>
      <c r="C21" s="36"/>
      <c r="D21" s="36"/>
      <c r="E21" s="36"/>
      <c r="F21" s="36"/>
      <c r="G21" s="36"/>
      <c r="H21" s="36"/>
      <c r="I21" s="36"/>
      <c r="J21" s="36"/>
      <c r="K21" s="36"/>
      <c r="L21" s="36"/>
      <c r="M21" s="36"/>
      <c r="N21" s="36"/>
      <c r="O21" s="36"/>
      <c r="P21" s="36"/>
      <c r="Q21" s="36"/>
      <c r="R21" s="36"/>
      <c r="S21" s="36"/>
      <c r="T21" s="36"/>
      <c r="U21" s="36"/>
      <c r="V21" s="37"/>
      <c r="W21" s="5"/>
      <c r="X21" s="17"/>
    </row>
    <row r="22" spans="1:24" s="18" customFormat="1" ht="14.25">
      <c r="A22" s="57" t="s">
        <v>36</v>
      </c>
      <c r="B22" s="54" t="s">
        <v>1</v>
      </c>
      <c r="C22" s="36">
        <v>179678.70823071498</v>
      </c>
      <c r="D22" s="36">
        <v>368122.23149707459</v>
      </c>
      <c r="E22" s="36">
        <v>565330.56979907886</v>
      </c>
      <c r="F22" s="36">
        <v>771303.72313672781</v>
      </c>
      <c r="G22" s="36">
        <v>986041.69151002134</v>
      </c>
      <c r="H22" s="36">
        <v>1007953.7290991329</v>
      </c>
      <c r="I22" s="36">
        <v>1029865.7666882445</v>
      </c>
      <c r="J22" s="36">
        <v>1051777.804277356</v>
      </c>
      <c r="K22" s="36">
        <v>1073689.8418664678</v>
      </c>
      <c r="L22" s="36">
        <v>1095601.8794555792</v>
      </c>
      <c r="M22" s="36">
        <v>1117513.917044691</v>
      </c>
      <c r="N22" s="36">
        <v>1139425.9546338024</v>
      </c>
      <c r="O22" s="36">
        <v>1161337.992222914</v>
      </c>
      <c r="P22" s="36">
        <v>1205162.0674011372</v>
      </c>
      <c r="Q22" s="36">
        <v>1227074.1049902486</v>
      </c>
      <c r="R22" s="36">
        <v>1248986.1425793604</v>
      </c>
      <c r="S22" s="36">
        <v>1270898.180168472</v>
      </c>
      <c r="T22" s="36">
        <v>1314722.2553466952</v>
      </c>
      <c r="U22" s="36">
        <v>1336634.2929358066</v>
      </c>
      <c r="V22" s="36">
        <v>1380458.3681140298</v>
      </c>
      <c r="W22" s="5"/>
      <c r="X22" s="17"/>
    </row>
    <row r="23" spans="1:24" s="18" customFormat="1" ht="14.25">
      <c r="A23" s="57" t="s">
        <v>37</v>
      </c>
      <c r="B23" s="54" t="s">
        <v>1</v>
      </c>
      <c r="C23" s="36">
        <v>359357.41646142997</v>
      </c>
      <c r="D23" s="36">
        <v>736244.46299414919</v>
      </c>
      <c r="E23" s="36">
        <v>1130661.1395981577</v>
      </c>
      <c r="F23" s="36">
        <v>1525077.8162021665</v>
      </c>
      <c r="G23" s="36">
        <v>1950171.3454309313</v>
      </c>
      <c r="H23" s="36">
        <v>1993995.4206091543</v>
      </c>
      <c r="I23" s="36">
        <v>2059731.5333764891</v>
      </c>
      <c r="J23" s="36">
        <v>2103555.608554712</v>
      </c>
      <c r="K23" s="36">
        <v>2147379.6837329357</v>
      </c>
      <c r="L23" s="36">
        <v>2191203.7589111584</v>
      </c>
      <c r="M23" s="36">
        <v>2235027.8340893821</v>
      </c>
      <c r="N23" s="36">
        <v>2300763.9468567162</v>
      </c>
      <c r="O23" s="36">
        <v>2344588.0220349394</v>
      </c>
      <c r="P23" s="36">
        <v>2388412.0972131626</v>
      </c>
      <c r="Q23" s="36">
        <v>2454148.2099804971</v>
      </c>
      <c r="R23" s="36">
        <v>2497972.2851587208</v>
      </c>
      <c r="S23" s="36">
        <v>2563708.3979260554</v>
      </c>
      <c r="T23" s="36">
        <v>2629444.5106933904</v>
      </c>
      <c r="U23" s="36">
        <v>2673268.5858716131</v>
      </c>
      <c r="V23" s="36">
        <v>2739004.6986389481</v>
      </c>
      <c r="W23" s="5"/>
      <c r="X23" s="17"/>
    </row>
    <row r="24" spans="1:24" s="18" customFormat="1" ht="14.25">
      <c r="A24" s="58"/>
      <c r="B24" s="54"/>
      <c r="C24" s="36"/>
      <c r="D24" s="36"/>
      <c r="E24" s="36"/>
      <c r="F24" s="36"/>
      <c r="G24" s="36"/>
      <c r="H24" s="36"/>
      <c r="I24" s="36"/>
      <c r="J24" s="36"/>
      <c r="K24" s="36"/>
      <c r="L24" s="36"/>
      <c r="M24" s="36"/>
      <c r="N24" s="36"/>
      <c r="O24" s="36"/>
      <c r="P24" s="36"/>
      <c r="Q24" s="36"/>
      <c r="R24" s="36"/>
      <c r="S24" s="36"/>
      <c r="T24" s="36"/>
      <c r="U24" s="36"/>
      <c r="V24" s="37"/>
      <c r="W24" s="5"/>
      <c r="X24" s="17"/>
    </row>
    <row r="25" spans="1:24" s="48" customFormat="1" ht="14.25">
      <c r="A25" s="59" t="s">
        <v>38</v>
      </c>
      <c r="B25" s="54"/>
      <c r="C25" s="45">
        <v>-8021679.8062234931</v>
      </c>
      <c r="D25" s="45">
        <v>-8171916.6704571368</v>
      </c>
      <c r="E25" s="45">
        <v>-4953633.7196551319</v>
      </c>
      <c r="F25" s="45">
        <v>8723635.0461825188</v>
      </c>
      <c r="G25" s="45">
        <v>11217535.627055816</v>
      </c>
      <c r="H25" s="45">
        <v>12403766.791599132</v>
      </c>
      <c r="I25" s="45">
        <v>12425678.829188244</v>
      </c>
      <c r="J25" s="45">
        <v>12447590.866777357</v>
      </c>
      <c r="K25" s="45">
        <v>12469502.904366467</v>
      </c>
      <c r="L25" s="45">
        <v>12491414.941955579</v>
      </c>
      <c r="M25" s="45">
        <v>12513326.979544692</v>
      </c>
      <c r="N25" s="45">
        <v>12535239.017133802</v>
      </c>
      <c r="O25" s="45">
        <v>12557151.054722914</v>
      </c>
      <c r="P25" s="45">
        <v>12600975.129901137</v>
      </c>
      <c r="Q25" s="45">
        <v>12622887.167490248</v>
      </c>
      <c r="R25" s="45">
        <v>12644799.20507936</v>
      </c>
      <c r="S25" s="45">
        <v>12666711.242668472</v>
      </c>
      <c r="T25" s="45">
        <v>12710535.317846695</v>
      </c>
      <c r="U25" s="45">
        <v>12732447.355435807</v>
      </c>
      <c r="V25" s="46">
        <v>12776271.43061403</v>
      </c>
      <c r="W25" s="14"/>
      <c r="X25" s="47"/>
    </row>
    <row r="26" spans="1:24" s="48" customFormat="1" thickBot="1">
      <c r="A26" s="60" t="s">
        <v>39</v>
      </c>
      <c r="B26" s="61"/>
      <c r="C26" s="62">
        <v>-7842001.0979927788</v>
      </c>
      <c r="D26" s="62">
        <v>-7803794.4389600623</v>
      </c>
      <c r="E26" s="62">
        <v>-4388303.1498560533</v>
      </c>
      <c r="F26" s="62">
        <v>9477409.1392479576</v>
      </c>
      <c r="G26" s="62">
        <v>12181665.280976726</v>
      </c>
      <c r="H26" s="62">
        <v>13389808.483109154</v>
      </c>
      <c r="I26" s="62">
        <v>13455544.595876489</v>
      </c>
      <c r="J26" s="62">
        <v>13499368.671054712</v>
      </c>
      <c r="K26" s="62">
        <v>13543192.746232936</v>
      </c>
      <c r="L26" s="62">
        <v>13587016.821411159</v>
      </c>
      <c r="M26" s="62">
        <v>13630840.896589382</v>
      </c>
      <c r="N26" s="62">
        <v>13696577.009356717</v>
      </c>
      <c r="O26" s="62">
        <v>13740401.084534939</v>
      </c>
      <c r="P26" s="62">
        <v>13784225.159713162</v>
      </c>
      <c r="Q26" s="62">
        <v>13849961.272480497</v>
      </c>
      <c r="R26" s="62">
        <v>13893785.34765872</v>
      </c>
      <c r="S26" s="62">
        <v>13959521.460426055</v>
      </c>
      <c r="T26" s="62">
        <v>14025257.57319339</v>
      </c>
      <c r="U26" s="62">
        <v>14069081.648371613</v>
      </c>
      <c r="V26" s="63">
        <v>14134817.761138948</v>
      </c>
      <c r="W26" s="14"/>
      <c r="X26" s="47"/>
    </row>
    <row r="27" spans="1:24" s="18" customFormat="1" thickBot="1">
      <c r="A27" s="64"/>
      <c r="B27" s="22"/>
      <c r="C27" s="65"/>
      <c r="D27" s="65"/>
      <c r="E27" s="65"/>
      <c r="F27" s="65"/>
      <c r="G27" s="65"/>
      <c r="H27" s="65"/>
      <c r="I27" s="66"/>
      <c r="J27" s="66"/>
      <c r="K27" s="67"/>
      <c r="L27" s="67"/>
      <c r="M27" s="67"/>
      <c r="N27" s="67"/>
      <c r="O27" s="67"/>
      <c r="P27" s="67"/>
      <c r="Q27" s="67"/>
      <c r="R27" s="67"/>
      <c r="S27" s="67"/>
      <c r="T27" s="67"/>
      <c r="U27" s="67"/>
      <c r="V27" s="68"/>
      <c r="W27" s="69"/>
      <c r="X27" s="17"/>
    </row>
    <row r="28" spans="1:24" s="18" customFormat="1" ht="14.25">
      <c r="A28" s="134" t="s">
        <v>22</v>
      </c>
      <c r="B28" s="135"/>
      <c r="C28" s="70"/>
      <c r="D28" s="71"/>
      <c r="E28" s="71"/>
      <c r="F28" s="71"/>
      <c r="G28" s="71"/>
      <c r="H28" s="71"/>
      <c r="I28" s="72"/>
      <c r="J28" s="72"/>
      <c r="K28" s="66"/>
      <c r="L28" s="66"/>
      <c r="M28" s="66"/>
      <c r="N28" s="66"/>
      <c r="O28" s="66"/>
      <c r="P28" s="66"/>
      <c r="Q28" s="66"/>
      <c r="R28" s="66"/>
      <c r="S28" s="66"/>
      <c r="T28" s="66"/>
      <c r="U28" s="66"/>
      <c r="V28" s="73"/>
      <c r="W28" s="74"/>
      <c r="X28" s="17"/>
    </row>
    <row r="29" spans="1:24" s="18" customFormat="1" ht="14.25">
      <c r="A29" s="53" t="s">
        <v>10</v>
      </c>
      <c r="B29" s="75">
        <v>8.5000000000000006E-2</v>
      </c>
      <c r="C29" s="70"/>
      <c r="D29" s="71"/>
      <c r="E29" s="71"/>
      <c r="F29" s="71"/>
      <c r="G29" s="71"/>
      <c r="H29" s="71"/>
      <c r="I29" s="72"/>
      <c r="J29" s="72"/>
      <c r="K29" s="72"/>
      <c r="L29" s="72"/>
      <c r="M29" s="72"/>
      <c r="N29" s="72"/>
      <c r="O29" s="72"/>
      <c r="P29" s="72"/>
      <c r="Q29" s="72"/>
      <c r="R29" s="72"/>
      <c r="S29" s="72"/>
      <c r="T29" s="72"/>
      <c r="U29" s="72"/>
      <c r="V29" s="76"/>
      <c r="W29" s="74"/>
      <c r="X29" s="17"/>
    </row>
    <row r="30" spans="1:24" s="18" customFormat="1" thickBot="1">
      <c r="A30" s="136" t="s">
        <v>23</v>
      </c>
      <c r="B30" s="137"/>
      <c r="C30" s="77"/>
      <c r="D30" s="72"/>
      <c r="E30" s="72"/>
      <c r="F30" s="72"/>
      <c r="G30" s="72"/>
      <c r="H30" s="72"/>
      <c r="I30" s="72"/>
      <c r="J30" s="72"/>
      <c r="K30" s="72"/>
      <c r="L30" s="72"/>
      <c r="M30" s="72"/>
      <c r="N30" s="72"/>
      <c r="O30" s="72"/>
      <c r="P30" s="72"/>
      <c r="Q30" s="72"/>
      <c r="R30" s="72"/>
      <c r="S30" s="72"/>
      <c r="T30" s="72"/>
      <c r="U30" s="72"/>
      <c r="V30" s="76"/>
      <c r="W30" s="74"/>
      <c r="X30" s="17"/>
    </row>
    <row r="31" spans="1:24" s="18" customFormat="1" thickBot="1">
      <c r="A31" s="78" t="s">
        <v>7</v>
      </c>
      <c r="B31" s="46">
        <v>56344121.641982108</v>
      </c>
      <c r="C31" s="80" t="s">
        <v>1</v>
      </c>
      <c r="D31" s="80"/>
      <c r="E31" s="80"/>
      <c r="F31" s="80"/>
      <c r="G31" s="80"/>
      <c r="H31" s="80"/>
      <c r="I31" s="80"/>
      <c r="J31" s="80"/>
      <c r="K31" s="72"/>
      <c r="L31" s="72"/>
      <c r="M31" s="72"/>
      <c r="N31" s="72"/>
      <c r="O31" s="72"/>
      <c r="P31" s="72"/>
      <c r="Q31" s="72"/>
      <c r="R31" s="72"/>
      <c r="S31" s="72"/>
      <c r="T31" s="72"/>
      <c r="U31" s="72"/>
      <c r="V31" s="76"/>
      <c r="W31" s="74"/>
      <c r="X31" s="17"/>
    </row>
    <row r="32" spans="1:24" s="18" customFormat="1" thickBot="1">
      <c r="A32" s="78" t="s">
        <v>8</v>
      </c>
      <c r="B32" s="75">
        <v>0.32712206790482712</v>
      </c>
      <c r="C32" s="82" t="s">
        <v>24</v>
      </c>
      <c r="D32" s="82"/>
      <c r="E32" s="82"/>
      <c r="F32" s="82"/>
      <c r="G32" s="82"/>
      <c r="H32" s="82"/>
      <c r="I32" s="82"/>
      <c r="J32" s="82"/>
      <c r="K32" s="72"/>
      <c r="L32" s="72"/>
      <c r="M32" s="72"/>
      <c r="N32" s="72"/>
      <c r="O32" s="72"/>
      <c r="P32" s="72"/>
      <c r="Q32" s="72"/>
      <c r="R32" s="72"/>
      <c r="S32" s="72"/>
      <c r="T32" s="72"/>
      <c r="U32" s="72"/>
      <c r="V32" s="76"/>
      <c r="W32" s="74"/>
      <c r="X32" s="17"/>
    </row>
    <row r="33" spans="1:24" s="18" customFormat="1" thickBot="1">
      <c r="A33" s="78" t="s">
        <v>9</v>
      </c>
      <c r="B33" s="75">
        <v>0.16626943758138779</v>
      </c>
      <c r="C33" s="80" t="s">
        <v>24</v>
      </c>
      <c r="D33" s="80"/>
      <c r="E33" s="80"/>
      <c r="F33" s="80"/>
      <c r="G33" s="80"/>
      <c r="H33" s="80"/>
      <c r="I33" s="80"/>
      <c r="J33" s="80"/>
      <c r="K33" s="72"/>
      <c r="L33" s="72"/>
      <c r="M33" s="72"/>
      <c r="N33" s="72"/>
      <c r="O33" s="72"/>
      <c r="P33" s="72"/>
      <c r="Q33" s="72"/>
      <c r="R33" s="72"/>
      <c r="S33" s="72"/>
      <c r="T33" s="72"/>
      <c r="U33" s="72"/>
      <c r="V33" s="76"/>
      <c r="W33" s="74"/>
      <c r="X33" s="17"/>
    </row>
    <row r="34" spans="1:24" s="18" customFormat="1" thickBot="1">
      <c r="A34" s="83" t="s">
        <v>25</v>
      </c>
      <c r="B34" s="84">
        <v>1.1477316101735209</v>
      </c>
      <c r="C34" s="85"/>
      <c r="D34" s="86"/>
      <c r="E34" s="85"/>
      <c r="F34" s="85"/>
      <c r="G34" s="85"/>
      <c r="H34" s="85"/>
      <c r="I34" s="85"/>
      <c r="J34" s="85"/>
      <c r="K34" s="72"/>
      <c r="L34" s="72"/>
      <c r="M34" s="72"/>
      <c r="N34" s="72"/>
      <c r="O34" s="72"/>
      <c r="P34" s="72"/>
      <c r="Q34" s="72"/>
      <c r="R34" s="72"/>
      <c r="S34" s="72"/>
      <c r="T34" s="72"/>
      <c r="U34" s="72"/>
      <c r="V34" s="76"/>
      <c r="W34" s="74"/>
      <c r="X34" s="17"/>
    </row>
    <row r="35" spans="1:24" s="18" customFormat="1" thickBot="1">
      <c r="A35" s="87"/>
      <c r="B35" s="88"/>
      <c r="D35" s="89"/>
      <c r="V35" s="90"/>
      <c r="W35" s="91"/>
      <c r="X35" s="17"/>
    </row>
    <row r="36" spans="1:24" s="18" customFormat="1" thickBot="1">
      <c r="A36" s="138" t="s">
        <v>40</v>
      </c>
      <c r="B36" s="139"/>
      <c r="C36" s="71"/>
      <c r="D36" s="92"/>
      <c r="E36" s="71"/>
      <c r="F36" s="71"/>
      <c r="G36" s="71"/>
      <c r="H36" s="71"/>
      <c r="I36" s="72"/>
      <c r="J36" s="72"/>
      <c r="K36" s="66"/>
      <c r="L36" s="66"/>
      <c r="M36" s="66"/>
      <c r="N36" s="66"/>
      <c r="O36" s="66"/>
      <c r="P36" s="66"/>
      <c r="Q36" s="66"/>
      <c r="R36" s="66"/>
      <c r="S36" s="66"/>
      <c r="T36" s="66"/>
      <c r="U36" s="66"/>
      <c r="V36" s="73"/>
      <c r="W36" s="74"/>
      <c r="X36" s="17"/>
    </row>
    <row r="37" spans="1:24" s="18" customFormat="1" thickBot="1">
      <c r="A37" s="93" t="s">
        <v>10</v>
      </c>
      <c r="B37" s="94">
        <v>8.5000000000000006E-2</v>
      </c>
      <c r="C37" s="71"/>
      <c r="D37" s="71"/>
      <c r="E37" s="71"/>
      <c r="F37" s="71"/>
      <c r="G37" s="71"/>
      <c r="H37" s="71"/>
      <c r="I37" s="72"/>
      <c r="J37" s="72"/>
      <c r="K37" s="72"/>
      <c r="L37" s="72"/>
      <c r="M37" s="72"/>
      <c r="N37" s="72"/>
      <c r="O37" s="72"/>
      <c r="P37" s="72"/>
      <c r="Q37" s="72"/>
      <c r="R37" s="72"/>
      <c r="S37" s="72"/>
      <c r="T37" s="72"/>
      <c r="U37" s="72"/>
      <c r="V37" s="76"/>
      <c r="W37" s="74"/>
      <c r="X37" s="17"/>
    </row>
    <row r="38" spans="1:24" s="18" customFormat="1" thickBot="1">
      <c r="A38" s="140" t="s">
        <v>23</v>
      </c>
      <c r="B38" s="141"/>
      <c r="C38" s="72"/>
      <c r="D38" s="72"/>
      <c r="E38" s="72"/>
      <c r="F38" s="72"/>
      <c r="G38" s="72"/>
      <c r="H38" s="72"/>
      <c r="I38" s="72"/>
      <c r="J38" s="72"/>
      <c r="K38" s="72"/>
      <c r="L38" s="72"/>
      <c r="M38" s="72"/>
      <c r="N38" s="72"/>
      <c r="O38" s="72"/>
      <c r="P38" s="72"/>
      <c r="Q38" s="72"/>
      <c r="R38" s="72"/>
      <c r="S38" s="72"/>
      <c r="T38" s="72"/>
      <c r="U38" s="72"/>
      <c r="V38" s="76"/>
      <c r="W38" s="74"/>
      <c r="X38" s="17"/>
    </row>
    <row r="39" spans="1:24" s="18" customFormat="1" thickBot="1">
      <c r="A39" s="13" t="s">
        <v>7</v>
      </c>
      <c r="B39" s="95">
        <v>64768344.052361608</v>
      </c>
      <c r="C39" s="80" t="s">
        <v>1</v>
      </c>
      <c r="D39" s="80"/>
      <c r="E39" s="80"/>
      <c r="F39" s="80"/>
      <c r="G39" s="80"/>
      <c r="H39" s="80"/>
      <c r="I39" s="80"/>
      <c r="J39" s="80"/>
      <c r="K39" s="72"/>
      <c r="L39" s="72"/>
      <c r="M39" s="72"/>
      <c r="N39" s="72"/>
      <c r="O39" s="72"/>
      <c r="P39" s="72"/>
      <c r="Q39" s="72"/>
      <c r="R39" s="72"/>
      <c r="S39" s="72"/>
      <c r="T39" s="72"/>
      <c r="U39" s="72"/>
      <c r="V39" s="76"/>
      <c r="W39" s="74"/>
      <c r="X39" s="17"/>
    </row>
    <row r="40" spans="1:24" s="18" customFormat="1" thickBot="1">
      <c r="A40" s="51" t="s">
        <v>8</v>
      </c>
      <c r="B40" s="96">
        <v>0.36088917183758767</v>
      </c>
      <c r="C40" s="82" t="s">
        <v>24</v>
      </c>
      <c r="D40" s="82"/>
      <c r="E40" s="82"/>
      <c r="F40" s="82"/>
      <c r="G40" s="82"/>
      <c r="H40" s="82"/>
      <c r="I40" s="82"/>
      <c r="J40" s="82"/>
      <c r="K40" s="72"/>
      <c r="L40" s="72"/>
      <c r="M40" s="72"/>
      <c r="N40" s="72"/>
      <c r="O40" s="72"/>
      <c r="P40" s="72"/>
      <c r="Q40" s="72"/>
      <c r="R40" s="72"/>
      <c r="S40" s="72"/>
      <c r="T40" s="72"/>
      <c r="U40" s="72"/>
      <c r="V40" s="76"/>
      <c r="W40" s="74"/>
      <c r="X40" s="17"/>
    </row>
    <row r="41" spans="1:24" s="18" customFormat="1" thickBot="1">
      <c r="A41" s="83" t="s">
        <v>9</v>
      </c>
      <c r="B41" s="97">
        <v>0.17514829469083759</v>
      </c>
      <c r="C41" s="80" t="s">
        <v>24</v>
      </c>
      <c r="D41" s="80"/>
      <c r="E41" s="80"/>
      <c r="F41" s="80"/>
      <c r="G41" s="80"/>
      <c r="H41" s="80"/>
      <c r="I41" s="80"/>
      <c r="J41" s="80"/>
      <c r="K41" s="72"/>
      <c r="L41" s="72"/>
      <c r="M41" s="72"/>
      <c r="N41" s="72"/>
      <c r="O41" s="72"/>
      <c r="P41" s="72"/>
      <c r="Q41" s="72"/>
      <c r="R41" s="72"/>
      <c r="S41" s="72"/>
      <c r="T41" s="72"/>
      <c r="U41" s="72"/>
      <c r="V41" s="76"/>
      <c r="W41" s="74"/>
      <c r="X41" s="17"/>
    </row>
    <row r="42" spans="1:24" ht="15.75" thickBot="1"/>
    <row r="43" spans="1:24" s="18" customFormat="1" thickBot="1">
      <c r="A43" s="138" t="s">
        <v>41</v>
      </c>
      <c r="B43" s="139"/>
      <c r="C43" s="71"/>
      <c r="D43" s="71"/>
      <c r="E43" s="71"/>
      <c r="F43" s="71"/>
      <c r="G43" s="71"/>
      <c r="H43" s="71"/>
      <c r="I43" s="72"/>
      <c r="J43" s="72"/>
      <c r="K43" s="66"/>
      <c r="L43" s="66"/>
      <c r="M43" s="66"/>
      <c r="N43" s="66"/>
      <c r="O43" s="66"/>
      <c r="P43" s="66"/>
      <c r="Q43" s="66"/>
      <c r="R43" s="66"/>
      <c r="S43" s="66"/>
      <c r="T43" s="66"/>
      <c r="U43" s="66"/>
      <c r="V43" s="73"/>
      <c r="W43" s="74"/>
      <c r="X43" s="17"/>
    </row>
    <row r="44" spans="1:24" s="18" customFormat="1" thickBot="1">
      <c r="A44" s="93" t="s">
        <v>10</v>
      </c>
      <c r="B44" s="94">
        <v>8.5000000000000006E-2</v>
      </c>
      <c r="C44" s="71"/>
      <c r="D44" s="71"/>
      <c r="E44" s="71"/>
      <c r="F44" s="71"/>
      <c r="G44" s="71"/>
      <c r="H44" s="71"/>
      <c r="I44" s="72"/>
      <c r="J44" s="72"/>
      <c r="K44" s="72"/>
      <c r="L44" s="72"/>
      <c r="M44" s="72"/>
      <c r="N44" s="72"/>
      <c r="O44" s="72"/>
      <c r="P44" s="72"/>
      <c r="Q44" s="72"/>
      <c r="R44" s="72"/>
      <c r="S44" s="72"/>
      <c r="T44" s="72"/>
      <c r="U44" s="72"/>
      <c r="V44" s="76"/>
      <c r="W44" s="74"/>
      <c r="X44" s="17"/>
    </row>
    <row r="45" spans="1:24" s="18" customFormat="1" thickBot="1">
      <c r="A45" s="140" t="s">
        <v>23</v>
      </c>
      <c r="B45" s="141"/>
      <c r="C45" s="72"/>
      <c r="D45" s="72"/>
      <c r="E45" s="72"/>
      <c r="F45" s="72"/>
      <c r="G45" s="72"/>
      <c r="H45" s="72"/>
      <c r="I45" s="72"/>
      <c r="J45" s="72"/>
      <c r="K45" s="72"/>
      <c r="L45" s="72"/>
      <c r="M45" s="72"/>
      <c r="N45" s="72"/>
      <c r="O45" s="72"/>
      <c r="P45" s="72"/>
      <c r="Q45" s="72"/>
      <c r="R45" s="72"/>
      <c r="S45" s="72"/>
      <c r="T45" s="72"/>
      <c r="U45" s="72"/>
      <c r="V45" s="76"/>
      <c r="W45" s="74"/>
      <c r="X45" s="17"/>
    </row>
    <row r="46" spans="1:24" s="18" customFormat="1" thickBot="1">
      <c r="A46" s="13" t="s">
        <v>7</v>
      </c>
      <c r="B46" s="95">
        <v>73161929.513939619</v>
      </c>
      <c r="C46" s="80" t="s">
        <v>1</v>
      </c>
      <c r="D46" s="80"/>
      <c r="E46" s="80"/>
      <c r="F46" s="80"/>
      <c r="G46" s="80"/>
      <c r="H46" s="80"/>
      <c r="I46" s="80"/>
      <c r="J46" s="80"/>
      <c r="K46" s="72"/>
      <c r="L46" s="72"/>
      <c r="M46" s="72"/>
      <c r="N46" s="72"/>
      <c r="O46" s="72"/>
      <c r="P46" s="72"/>
      <c r="Q46" s="72"/>
      <c r="R46" s="72"/>
      <c r="S46" s="72"/>
      <c r="T46" s="72"/>
      <c r="U46" s="72"/>
      <c r="V46" s="76"/>
      <c r="W46" s="74"/>
      <c r="X46" s="17"/>
    </row>
    <row r="47" spans="1:24" s="18" customFormat="1" thickBot="1">
      <c r="A47" s="51" t="s">
        <v>8</v>
      </c>
      <c r="B47" s="96">
        <v>0.39484816143773704</v>
      </c>
      <c r="C47" s="82" t="s">
        <v>24</v>
      </c>
      <c r="D47" s="82"/>
      <c r="E47" s="82"/>
      <c r="F47" s="82"/>
      <c r="G47" s="82"/>
      <c r="H47" s="82"/>
      <c r="I47" s="82"/>
      <c r="J47" s="82"/>
      <c r="K47" s="72"/>
      <c r="L47" s="72"/>
      <c r="M47" s="72"/>
      <c r="N47" s="72"/>
      <c r="O47" s="72"/>
      <c r="P47" s="72"/>
      <c r="Q47" s="72"/>
      <c r="R47" s="72"/>
      <c r="S47" s="72"/>
      <c r="T47" s="72"/>
      <c r="U47" s="72"/>
      <c r="V47" s="76"/>
      <c r="W47" s="74"/>
      <c r="X47" s="17"/>
    </row>
    <row r="48" spans="1:24" s="18" customFormat="1" thickBot="1">
      <c r="A48" s="83" t="s">
        <v>9</v>
      </c>
      <c r="B48" s="97">
        <v>0.18372160158488238</v>
      </c>
      <c r="C48" s="80" t="s">
        <v>24</v>
      </c>
      <c r="D48" s="80"/>
      <c r="E48" s="80"/>
      <c r="F48" s="80"/>
      <c r="G48" s="80"/>
      <c r="H48" s="80"/>
      <c r="I48" s="80"/>
      <c r="J48" s="80"/>
      <c r="K48" s="72"/>
      <c r="L48" s="72"/>
      <c r="M48" s="72"/>
      <c r="N48" s="72"/>
      <c r="O48" s="72"/>
      <c r="P48" s="72"/>
      <c r="Q48" s="72"/>
      <c r="R48" s="72"/>
      <c r="S48" s="72"/>
      <c r="T48" s="72"/>
      <c r="U48" s="72"/>
      <c r="V48" s="76"/>
      <c r="W48" s="74"/>
      <c r="X48" s="17"/>
    </row>
    <row r="51" spans="1:24" s="102" customFormat="1" ht="13.5" thickBot="1">
      <c r="B51" s="103" t="s">
        <v>26</v>
      </c>
      <c r="C51" s="104"/>
      <c r="D51" s="104"/>
      <c r="E51" s="104"/>
      <c r="F51" s="104"/>
      <c r="G51" s="104"/>
      <c r="H51" s="104"/>
      <c r="I51" s="104"/>
      <c r="J51" s="104"/>
      <c r="K51" s="104"/>
      <c r="L51" s="104"/>
      <c r="M51" s="104"/>
      <c r="N51" s="104"/>
      <c r="O51" s="104"/>
      <c r="P51" s="104"/>
      <c r="Q51" s="104"/>
      <c r="R51" s="104"/>
      <c r="S51" s="104"/>
      <c r="T51" s="104"/>
      <c r="U51" s="104"/>
      <c r="V51" s="105"/>
      <c r="W51" s="106"/>
      <c r="X51" s="107"/>
    </row>
    <row r="52" spans="1:24" s="102" customFormat="1" ht="12.75">
      <c r="B52" s="108" t="s">
        <v>27</v>
      </c>
      <c r="C52" s="109">
        <v>0</v>
      </c>
      <c r="D52" s="110">
        <v>1</v>
      </c>
      <c r="E52" s="110">
        <v>2</v>
      </c>
      <c r="F52" s="110">
        <v>3</v>
      </c>
      <c r="G52" s="110">
        <v>4</v>
      </c>
      <c r="H52" s="110">
        <v>5</v>
      </c>
      <c r="I52" s="110">
        <v>6</v>
      </c>
      <c r="J52" s="110">
        <v>7</v>
      </c>
      <c r="K52" s="110">
        <v>8</v>
      </c>
      <c r="L52" s="110">
        <v>9</v>
      </c>
      <c r="M52" s="110">
        <v>10</v>
      </c>
      <c r="N52" s="110">
        <v>11</v>
      </c>
      <c r="O52" s="110">
        <v>12</v>
      </c>
      <c r="P52" s="110">
        <v>13</v>
      </c>
      <c r="Q52" s="110">
        <v>14</v>
      </c>
      <c r="R52" s="110">
        <v>15</v>
      </c>
      <c r="S52" s="110">
        <v>16</v>
      </c>
      <c r="T52" s="110">
        <v>17</v>
      </c>
      <c r="U52" s="110">
        <v>18</v>
      </c>
      <c r="V52" s="110">
        <v>19</v>
      </c>
      <c r="W52" s="111">
        <v>20</v>
      </c>
      <c r="X52" s="107"/>
    </row>
    <row r="53" spans="1:24" s="102" customFormat="1" ht="12.75">
      <c r="B53" s="108" t="s">
        <v>28</v>
      </c>
      <c r="C53" s="112">
        <v>-5821595.6347710323</v>
      </c>
      <c r="D53" s="113"/>
      <c r="E53" s="113"/>
      <c r="F53" s="113"/>
      <c r="G53" s="113"/>
      <c r="H53" s="113"/>
      <c r="I53" s="113"/>
      <c r="J53" s="113"/>
      <c r="K53" s="113"/>
      <c r="L53" s="113"/>
      <c r="M53" s="113"/>
      <c r="N53" s="113"/>
      <c r="O53" s="113"/>
      <c r="P53" s="113"/>
      <c r="Q53" s="113"/>
      <c r="R53" s="113"/>
      <c r="S53" s="113"/>
      <c r="T53" s="113"/>
      <c r="U53" s="113"/>
      <c r="V53" s="113"/>
      <c r="W53" s="114"/>
      <c r="X53" s="107"/>
    </row>
    <row r="54" spans="1:24" s="102" customFormat="1" ht="12.75">
      <c r="B54" s="108" t="s">
        <v>29</v>
      </c>
      <c r="D54" s="115">
        <v>-7037039.3874999993</v>
      </c>
      <c r="E54" s="115">
        <v>-7375719.7750000022</v>
      </c>
      <c r="F54" s="115">
        <v>-4354645.1625000052</v>
      </c>
      <c r="G54" s="115">
        <v>9116650.450000003</v>
      </c>
      <c r="H54" s="115">
        <v>11395813.0625</v>
      </c>
      <c r="I54" s="115">
        <v>11395813.0625</v>
      </c>
      <c r="J54" s="115">
        <v>11395813.0625</v>
      </c>
      <c r="K54" s="115">
        <v>73821565.9375</v>
      </c>
      <c r="L54" s="115">
        <v>73821565.9375</v>
      </c>
      <c r="M54" s="115">
        <v>73821565.9375</v>
      </c>
      <c r="N54" s="115">
        <v>73821565.9375</v>
      </c>
      <c r="O54" s="115">
        <v>73821565.9375</v>
      </c>
      <c r="P54" s="115">
        <v>73821565.9375</v>
      </c>
      <c r="Q54" s="115">
        <v>73821565.9375</v>
      </c>
      <c r="R54" s="115">
        <v>73821565.9375</v>
      </c>
      <c r="S54" s="115">
        <v>73821565.9375</v>
      </c>
      <c r="T54" s="115">
        <v>73821565.9375</v>
      </c>
      <c r="U54" s="115">
        <v>73821565.9375</v>
      </c>
      <c r="V54" s="115">
        <v>73821565.9375</v>
      </c>
      <c r="W54" s="116">
        <v>73821565.9375</v>
      </c>
      <c r="X54" s="107"/>
    </row>
    <row r="55" spans="1:24" s="102" customFormat="1" ht="13.5" thickBot="1">
      <c r="B55" s="108" t="s">
        <v>30</v>
      </c>
      <c r="C55" s="117">
        <v>-5821595.6347710323</v>
      </c>
      <c r="D55" s="118">
        <v>-12858635.022271032</v>
      </c>
      <c r="E55" s="118">
        <v>-20234354.797271036</v>
      </c>
      <c r="F55" s="118">
        <v>-24588999.959771041</v>
      </c>
      <c r="G55" s="118">
        <v>-15472349.509771038</v>
      </c>
      <c r="H55" s="118">
        <v>-4076536.4472710378</v>
      </c>
      <c r="I55" s="118">
        <v>7319276.6152289622</v>
      </c>
      <c r="J55" s="118">
        <v>18715089.677728962</v>
      </c>
      <c r="K55" s="118">
        <v>92536655.615228966</v>
      </c>
      <c r="L55" s="118">
        <v>166358221.55272895</v>
      </c>
      <c r="M55" s="118">
        <v>240179787.49022895</v>
      </c>
      <c r="N55" s="118">
        <v>314001353.42772895</v>
      </c>
      <c r="O55" s="118">
        <v>387822919.36522895</v>
      </c>
      <c r="P55" s="118">
        <v>461644485.30272895</v>
      </c>
      <c r="Q55" s="118">
        <v>535466051.24022895</v>
      </c>
      <c r="R55" s="118">
        <v>609287617.17772889</v>
      </c>
      <c r="S55" s="118">
        <v>683109183.11522889</v>
      </c>
      <c r="T55" s="118">
        <v>756930749.05272889</v>
      </c>
      <c r="U55" s="118">
        <v>830752314.99022889</v>
      </c>
      <c r="V55" s="118">
        <v>904573880.92772889</v>
      </c>
      <c r="W55" s="119">
        <v>978395446.86522889</v>
      </c>
      <c r="X55" s="107"/>
    </row>
    <row r="56" spans="1:24" s="128" customFormat="1" ht="14.25">
      <c r="A56" s="120"/>
      <c r="B56" s="121"/>
      <c r="C56" s="122"/>
      <c r="D56" s="123"/>
      <c r="E56" s="124"/>
      <c r="F56" s="124"/>
      <c r="G56" s="124"/>
      <c r="H56" s="124"/>
      <c r="I56" s="124"/>
      <c r="J56" s="124"/>
      <c r="K56" s="124"/>
      <c r="L56" s="124"/>
      <c r="M56" s="124"/>
      <c r="N56" s="124"/>
      <c r="O56" s="124"/>
      <c r="P56" s="124"/>
      <c r="Q56" s="124"/>
      <c r="R56" s="124"/>
      <c r="S56" s="124"/>
      <c r="T56" s="124"/>
      <c r="U56" s="124"/>
      <c r="V56" s="125"/>
      <c r="W56" s="126"/>
      <c r="X56" s="127"/>
    </row>
    <row r="57" spans="1:24" s="128" customFormat="1" thickBot="1">
      <c r="B57" s="129" t="s">
        <v>31</v>
      </c>
      <c r="C57" s="130">
        <v>5.3577222989630835</v>
      </c>
      <c r="D57" s="127"/>
      <c r="V57" s="121"/>
      <c r="W57" s="126"/>
      <c r="X57" s="127"/>
    </row>
    <row r="58" spans="1:24" ht="15.75" thickBot="1"/>
    <row r="59" spans="1:24" s="102" customFormat="1" ht="12.75">
      <c r="A59" s="106"/>
      <c r="B59" s="143" t="s">
        <v>89</v>
      </c>
      <c r="C59" s="366"/>
      <c r="D59" s="367"/>
      <c r="E59" s="367"/>
      <c r="F59" s="367"/>
      <c r="G59" s="367"/>
      <c r="H59" s="367"/>
      <c r="I59" s="368"/>
      <c r="J59" s="368"/>
      <c r="K59" s="368"/>
      <c r="L59" s="368"/>
      <c r="M59" s="368"/>
      <c r="N59" s="368"/>
      <c r="O59" s="368"/>
      <c r="P59" s="368"/>
      <c r="Q59" s="368"/>
      <c r="R59" s="368"/>
      <c r="S59" s="368"/>
      <c r="T59" s="368"/>
      <c r="U59" s="368"/>
      <c r="V59" s="369"/>
      <c r="W59" s="370"/>
      <c r="X59" s="107"/>
    </row>
    <row r="60" spans="1:24" s="102" customFormat="1" ht="12.75">
      <c r="A60" s="106"/>
      <c r="B60" s="143" t="s">
        <v>90</v>
      </c>
      <c r="C60" s="371">
        <v>-7037039.3874999993</v>
      </c>
      <c r="D60" s="371">
        <v>-7375719.7750000022</v>
      </c>
      <c r="E60" s="371">
        <v>-4354645.1625000052</v>
      </c>
      <c r="F60" s="371">
        <v>9116650.450000003</v>
      </c>
      <c r="G60" s="371">
        <v>11395813.0625</v>
      </c>
      <c r="H60" s="371">
        <v>11395813.0625</v>
      </c>
      <c r="I60" s="372"/>
      <c r="J60" s="373"/>
      <c r="K60" s="373"/>
      <c r="L60" s="373"/>
      <c r="M60" s="373"/>
      <c r="N60" s="373"/>
      <c r="O60" s="373"/>
      <c r="P60" s="373"/>
      <c r="Q60" s="373"/>
      <c r="R60" s="373"/>
      <c r="S60" s="373"/>
      <c r="T60" s="373"/>
      <c r="U60" s="373"/>
      <c r="V60" s="373"/>
      <c r="W60" s="374"/>
      <c r="X60" s="107"/>
    </row>
    <row r="61" spans="1:24" s="102" customFormat="1" ht="12.75">
      <c r="A61" s="106"/>
      <c r="B61" s="143" t="s">
        <v>91</v>
      </c>
      <c r="C61" s="375">
        <v>1164319.1269542065</v>
      </c>
      <c r="D61" s="371">
        <v>1164319.1269542065</v>
      </c>
      <c r="E61" s="371">
        <v>1164319.1269542065</v>
      </c>
      <c r="F61" s="371">
        <v>1164319.1269542065</v>
      </c>
      <c r="G61" s="371">
        <v>1164319.1269542065</v>
      </c>
      <c r="H61" s="371">
        <v>0</v>
      </c>
      <c r="I61" s="372"/>
      <c r="V61" s="150"/>
      <c r="W61" s="376"/>
      <c r="X61" s="107"/>
    </row>
    <row r="62" spans="1:24" s="102" customFormat="1" ht="12.75">
      <c r="A62" s="106"/>
      <c r="B62" s="143" t="s">
        <v>92</v>
      </c>
      <c r="C62" s="379">
        <v>-598148.34793749999</v>
      </c>
      <c r="D62" s="380">
        <v>-626936.18087500019</v>
      </c>
      <c r="E62" s="380">
        <v>-370144.83881250047</v>
      </c>
      <c r="F62" s="380">
        <v>774915.28825000033</v>
      </c>
      <c r="G62" s="380">
        <v>968644.11031250004</v>
      </c>
      <c r="H62" s="380">
        <v>968644.11031250004</v>
      </c>
      <c r="W62" s="378"/>
      <c r="X62" s="107"/>
    </row>
    <row r="63" spans="1:24" s="102" customFormat="1" ht="12.75">
      <c r="A63" s="106"/>
      <c r="B63" s="143" t="s">
        <v>93</v>
      </c>
      <c r="C63" s="379">
        <v>566170.77901670651</v>
      </c>
      <c r="D63" s="373">
        <v>537382.9460792063</v>
      </c>
      <c r="E63" s="373">
        <v>794174.28814170603</v>
      </c>
      <c r="F63" s="373">
        <v>1939234.4152042069</v>
      </c>
      <c r="G63" s="373">
        <v>2132963.2372667063</v>
      </c>
      <c r="H63" s="373">
        <v>968644.11031250004</v>
      </c>
      <c r="V63" s="150"/>
      <c r="W63" s="376"/>
      <c r="X63" s="107"/>
    </row>
    <row r="64" spans="1:24" s="102" customFormat="1" ht="12.75">
      <c r="A64" s="106"/>
      <c r="B64" s="381" t="s">
        <v>89</v>
      </c>
      <c r="C64" s="382">
        <v>-12.429181526679162</v>
      </c>
      <c r="D64" s="383">
        <v>-13.725258363358773</v>
      </c>
      <c r="E64" s="383">
        <v>-5.483236145417739</v>
      </c>
      <c r="F64" s="383">
        <v>4.7011595805657116</v>
      </c>
      <c r="G64" s="383">
        <v>5.3427142406369867</v>
      </c>
      <c r="H64" s="383">
        <v>11.76470588235294</v>
      </c>
      <c r="I64" s="384">
        <v>11.76470588235294</v>
      </c>
      <c r="J64" s="384">
        <v>11.76470588235294</v>
      </c>
      <c r="K64" s="384">
        <v>11.76470588235294</v>
      </c>
      <c r="L64" s="384">
        <v>11.76470588235294</v>
      </c>
      <c r="M64" s="384">
        <v>11.76470588235294</v>
      </c>
      <c r="N64" s="384">
        <v>11.76470588235294</v>
      </c>
      <c r="O64" s="384">
        <v>11.76470588235294</v>
      </c>
      <c r="P64" s="384">
        <v>11.76470588235294</v>
      </c>
      <c r="Q64" s="384">
        <v>11.76470588235294</v>
      </c>
      <c r="R64" s="384">
        <v>11.76470588235294</v>
      </c>
      <c r="S64" s="384">
        <v>11.76470588235294</v>
      </c>
      <c r="T64" s="384">
        <v>11.76470588235294</v>
      </c>
      <c r="U64" s="384">
        <v>11.76470588235294</v>
      </c>
      <c r="V64" s="384">
        <v>11.76470588235294</v>
      </c>
      <c r="W64" s="385">
        <v>11.76470588235294</v>
      </c>
      <c r="X64" s="107"/>
    </row>
    <row r="65" spans="1:23">
      <c r="A65" s="106"/>
      <c r="B65" s="106"/>
      <c r="C65" s="386"/>
      <c r="D65" s="102"/>
      <c r="E65" s="102"/>
      <c r="F65" s="102"/>
      <c r="G65" s="102"/>
      <c r="H65" s="102"/>
      <c r="I65" s="102"/>
      <c r="J65" s="102"/>
      <c r="K65" s="102"/>
      <c r="L65" s="102"/>
      <c r="M65" s="102"/>
      <c r="N65" s="102"/>
      <c r="O65" s="102"/>
      <c r="P65" s="102"/>
      <c r="Q65" s="102"/>
      <c r="R65" s="102"/>
      <c r="S65" s="102"/>
      <c r="T65" s="102"/>
      <c r="U65" s="102"/>
      <c r="V65" s="150"/>
      <c r="W65" s="376"/>
    </row>
    <row r="66" spans="1:23" ht="15.75" thickBot="1">
      <c r="A66" s="106"/>
      <c r="B66" s="381" t="s">
        <v>94</v>
      </c>
      <c r="C66" s="387">
        <v>7.9353091382568595</v>
      </c>
      <c r="D66" s="388"/>
      <c r="E66" s="388"/>
      <c r="F66" s="388"/>
      <c r="G66" s="388"/>
      <c r="H66" s="388"/>
      <c r="I66" s="388"/>
      <c r="J66" s="388"/>
      <c r="K66" s="388"/>
      <c r="L66" s="388"/>
      <c r="M66" s="388"/>
      <c r="N66" s="388"/>
      <c r="O66" s="388"/>
      <c r="P66" s="388"/>
      <c r="Q66" s="388"/>
      <c r="R66" s="388"/>
      <c r="S66" s="388"/>
      <c r="T66" s="388"/>
      <c r="U66" s="388"/>
      <c r="V66" s="389"/>
      <c r="W66" s="390"/>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dimension ref="A1:X39"/>
  <sheetViews>
    <sheetView showGridLines="0" zoomScale="70" zoomScaleNormal="70" workbookViewId="0">
      <selection sqref="A1:XFD1048576"/>
    </sheetView>
  </sheetViews>
  <sheetFormatPr defaultColWidth="9" defaultRowHeight="15"/>
  <cols>
    <col min="1" max="1" width="76.140625" style="98" customWidth="1"/>
    <col min="2" max="2" width="13.5703125" style="98" customWidth="1"/>
    <col min="3" max="3" width="16.42578125" style="98" bestFit="1" customWidth="1"/>
    <col min="4" max="4" width="15.85546875" style="98" customWidth="1"/>
    <col min="5" max="6" width="15.85546875" style="98" bestFit="1" customWidth="1"/>
    <col min="7" max="21" width="15.85546875" style="98" customWidth="1"/>
    <col min="22" max="22" width="15.85546875" style="99" customWidth="1"/>
    <col min="23" max="23" width="15.85546875" style="100" customWidth="1"/>
    <col min="24" max="24" width="9" style="101"/>
    <col min="25" max="16384" width="9" style="98"/>
  </cols>
  <sheetData>
    <row r="1" spans="1:24" s="18" customFormat="1" ht="15.75" thickBot="1">
      <c r="A1" s="131" t="s">
        <v>32</v>
      </c>
      <c r="B1" s="132"/>
      <c r="C1" s="132"/>
      <c r="D1" s="132"/>
      <c r="E1" s="132"/>
      <c r="F1" s="132"/>
      <c r="G1" s="132"/>
      <c r="H1" s="132"/>
      <c r="I1" s="132"/>
      <c r="J1" s="132"/>
      <c r="K1" s="132"/>
      <c r="L1" s="132"/>
      <c r="M1" s="132"/>
      <c r="N1" s="132"/>
      <c r="O1" s="132"/>
      <c r="P1" s="132"/>
      <c r="Q1" s="132"/>
      <c r="R1" s="132"/>
      <c r="S1" s="132"/>
      <c r="T1" s="132"/>
      <c r="U1" s="132"/>
      <c r="V1" s="132"/>
      <c r="W1" s="133"/>
      <c r="X1" s="17"/>
    </row>
    <row r="2" spans="1:24" s="18" customFormat="1" ht="14.25">
      <c r="A2" s="19"/>
      <c r="B2" s="20" t="s">
        <v>12</v>
      </c>
      <c r="C2" s="20"/>
      <c r="D2" s="20"/>
      <c r="E2" s="20"/>
      <c r="F2" s="20"/>
      <c r="G2" s="20"/>
      <c r="H2" s="20"/>
      <c r="I2" s="20"/>
      <c r="J2" s="20"/>
      <c r="K2" s="20"/>
      <c r="L2" s="20"/>
      <c r="M2" s="20"/>
      <c r="N2" s="20"/>
      <c r="O2" s="20"/>
      <c r="P2" s="20"/>
      <c r="Q2" s="20"/>
      <c r="R2" s="20"/>
      <c r="S2" s="20"/>
      <c r="T2" s="20"/>
      <c r="U2" s="20"/>
      <c r="V2" s="21"/>
      <c r="W2" s="22"/>
      <c r="X2" s="17"/>
    </row>
    <row r="3" spans="1:24" s="18" customFormat="1" ht="14.25">
      <c r="A3" s="23"/>
      <c r="B3" s="24"/>
      <c r="C3" s="25">
        <v>2023</v>
      </c>
      <c r="D3" s="25">
        <v>2024</v>
      </c>
      <c r="E3" s="25">
        <v>2025</v>
      </c>
      <c r="F3" s="25">
        <v>2026</v>
      </c>
      <c r="G3" s="25">
        <v>2027</v>
      </c>
      <c r="H3" s="25">
        <v>2028</v>
      </c>
      <c r="I3" s="25">
        <v>2029</v>
      </c>
      <c r="J3" s="25">
        <v>2030</v>
      </c>
      <c r="K3" s="25">
        <v>2031</v>
      </c>
      <c r="L3" s="25">
        <v>2032</v>
      </c>
      <c r="M3" s="25">
        <v>2033</v>
      </c>
      <c r="N3" s="25">
        <v>2034</v>
      </c>
      <c r="O3" s="25">
        <v>2035</v>
      </c>
      <c r="P3" s="25">
        <v>2036</v>
      </c>
      <c r="Q3" s="25">
        <v>2037</v>
      </c>
      <c r="R3" s="25">
        <v>2038</v>
      </c>
      <c r="S3" s="25">
        <v>2039</v>
      </c>
      <c r="T3" s="25">
        <v>2040</v>
      </c>
      <c r="U3" s="25">
        <v>2041</v>
      </c>
      <c r="V3" s="26">
        <v>2042</v>
      </c>
      <c r="W3" s="27"/>
      <c r="X3" s="17"/>
    </row>
    <row r="4" spans="1:24" s="18" customFormat="1" ht="14.25">
      <c r="A4" s="28" t="s">
        <v>49</v>
      </c>
      <c r="B4" s="29"/>
      <c r="C4" s="30"/>
      <c r="D4" s="30"/>
      <c r="E4" s="30"/>
      <c r="F4" s="30"/>
      <c r="G4" s="30"/>
      <c r="H4" s="30"/>
      <c r="I4" s="30"/>
      <c r="J4" s="31"/>
      <c r="K4" s="32"/>
      <c r="L4" s="32"/>
      <c r="M4" s="32"/>
      <c r="N4" s="32"/>
      <c r="O4" s="32"/>
      <c r="P4" s="32"/>
      <c r="Q4" s="32"/>
      <c r="R4" s="32"/>
      <c r="S4" s="32"/>
      <c r="T4" s="32"/>
      <c r="U4" s="32"/>
      <c r="V4" s="33"/>
      <c r="W4" s="34"/>
      <c r="X4" s="17"/>
    </row>
    <row r="5" spans="1:24" s="18" customFormat="1" thickBot="1">
      <c r="A5" s="153" t="s">
        <v>13</v>
      </c>
      <c r="B5" s="154" t="s">
        <v>1</v>
      </c>
      <c r="C5" s="145">
        <v>24756.95416071028</v>
      </c>
      <c r="D5" s="145">
        <v>114844.75957885046</v>
      </c>
      <c r="E5" s="145">
        <v>221265.27781134812</v>
      </c>
      <c r="F5" s="145">
        <v>360351.22167256073</v>
      </c>
      <c r="G5" s="145">
        <v>450439.02709070098</v>
      </c>
      <c r="H5" s="145">
        <v>450439.02709070098</v>
      </c>
      <c r="I5" s="145">
        <v>450439.02709070098</v>
      </c>
      <c r="J5" s="145">
        <v>450439.02709070098</v>
      </c>
      <c r="K5" s="145">
        <v>450439.02709070098</v>
      </c>
      <c r="L5" s="145">
        <v>450439.02709070098</v>
      </c>
      <c r="M5" s="145">
        <v>450439.02709070098</v>
      </c>
      <c r="N5" s="145">
        <v>450439.02709070098</v>
      </c>
      <c r="O5" s="145">
        <v>450439.02709070098</v>
      </c>
      <c r="P5" s="145">
        <v>450439.02709070098</v>
      </c>
      <c r="Q5" s="145">
        <v>450439.02709070098</v>
      </c>
      <c r="R5" s="145">
        <v>450439.02709070098</v>
      </c>
      <c r="S5" s="145">
        <v>450439.02709070098</v>
      </c>
      <c r="T5" s="145">
        <v>450439.02709070098</v>
      </c>
      <c r="U5" s="145">
        <v>450439.02709070098</v>
      </c>
      <c r="V5" s="146">
        <v>450439.02709070098</v>
      </c>
      <c r="W5" s="5"/>
      <c r="X5" s="17"/>
    </row>
    <row r="6" spans="1:24" s="18" customFormat="1" thickBot="1">
      <c r="A6" s="155" t="s">
        <v>14</v>
      </c>
      <c r="B6" s="156" t="s">
        <v>1</v>
      </c>
      <c r="C6" s="145">
        <v>8466.1200971588478</v>
      </c>
      <c r="D6" s="145">
        <v>26564.352879708003</v>
      </c>
      <c r="E6" s="145">
        <v>112087.3744599893</v>
      </c>
      <c r="F6" s="145">
        <v>187978.28335488029</v>
      </c>
      <c r="G6" s="145">
        <v>234972.85419360039</v>
      </c>
      <c r="H6" s="145">
        <v>234972.85419360039</v>
      </c>
      <c r="I6" s="145">
        <v>234972.85419360039</v>
      </c>
      <c r="J6" s="145">
        <v>234972.85419360039</v>
      </c>
      <c r="K6" s="145">
        <v>234972.85419360039</v>
      </c>
      <c r="L6" s="145">
        <v>234972.85419360039</v>
      </c>
      <c r="M6" s="145">
        <v>234972.85419360039</v>
      </c>
      <c r="N6" s="145">
        <v>234972.85419360039</v>
      </c>
      <c r="O6" s="145">
        <v>234972.85419360039</v>
      </c>
      <c r="P6" s="145">
        <v>234972.85419360039</v>
      </c>
      <c r="Q6" s="145">
        <v>234972.85419360039</v>
      </c>
      <c r="R6" s="145">
        <v>234972.85419360039</v>
      </c>
      <c r="S6" s="145">
        <v>234972.85419360039</v>
      </c>
      <c r="T6" s="145">
        <v>234972.85419360039</v>
      </c>
      <c r="U6" s="145">
        <v>234972.85419360039</v>
      </c>
      <c r="V6" s="146">
        <v>234972.85419360039</v>
      </c>
      <c r="W6" s="5"/>
      <c r="X6" s="17"/>
    </row>
    <row r="7" spans="1:24" s="18" customFormat="1" ht="14.25">
      <c r="A7" s="157" t="s">
        <v>15</v>
      </c>
      <c r="B7" s="158" t="s">
        <v>1</v>
      </c>
      <c r="C7" s="159">
        <v>13420.436430553382</v>
      </c>
      <c r="D7" s="159">
        <v>63267.771744037374</v>
      </c>
      <c r="E7" s="159">
        <v>122221.83177825404</v>
      </c>
      <c r="F7" s="159">
        <v>272243.13901979721</v>
      </c>
      <c r="G7" s="159">
        <v>340303.92377474654</v>
      </c>
      <c r="H7" s="159">
        <v>340303.92377474654</v>
      </c>
      <c r="I7" s="159">
        <v>340303.92377474654</v>
      </c>
      <c r="J7" s="159">
        <v>340303.92377474654</v>
      </c>
      <c r="K7" s="159">
        <v>340303.92377474654</v>
      </c>
      <c r="L7" s="159">
        <v>340303.92377474654</v>
      </c>
      <c r="M7" s="159">
        <v>340303.92377474654</v>
      </c>
      <c r="N7" s="159">
        <v>340303.92377474654</v>
      </c>
      <c r="O7" s="159">
        <v>340303.92377474654</v>
      </c>
      <c r="P7" s="159">
        <v>340303.92377474654</v>
      </c>
      <c r="Q7" s="159">
        <v>340303.92377474654</v>
      </c>
      <c r="R7" s="159">
        <v>340303.92377474654</v>
      </c>
      <c r="S7" s="159">
        <v>340303.92377474654</v>
      </c>
      <c r="T7" s="159">
        <v>340303.92377474654</v>
      </c>
      <c r="U7" s="159">
        <v>340303.92377474654</v>
      </c>
      <c r="V7" s="160">
        <v>340303.92377474654</v>
      </c>
      <c r="W7" s="5"/>
      <c r="X7" s="17"/>
    </row>
    <row r="8" spans="1:24" s="18" customFormat="1" ht="14.25">
      <c r="A8" s="39" t="s">
        <v>16</v>
      </c>
      <c r="B8" s="40" t="s">
        <v>1</v>
      </c>
      <c r="C8" s="36">
        <v>9733.5033452365205</v>
      </c>
      <c r="D8" s="36">
        <v>96523.908173595497</v>
      </c>
      <c r="E8" s="36">
        <v>202578.53837273511</v>
      </c>
      <c r="F8" s="36">
        <v>347161.61931343586</v>
      </c>
      <c r="G8" s="36">
        <v>433952.02414179489</v>
      </c>
      <c r="H8" s="36">
        <v>433952.02414179489</v>
      </c>
      <c r="I8" s="36">
        <v>433952.02414179489</v>
      </c>
      <c r="J8" s="36">
        <v>433952.02414179489</v>
      </c>
      <c r="K8" s="36">
        <v>433952.02414179489</v>
      </c>
      <c r="L8" s="36">
        <v>433952.02414179489</v>
      </c>
      <c r="M8" s="36">
        <v>433952.02414179489</v>
      </c>
      <c r="N8" s="36">
        <v>433952.02414179489</v>
      </c>
      <c r="O8" s="36">
        <v>433952.02414179489</v>
      </c>
      <c r="P8" s="36">
        <v>433952.02414179489</v>
      </c>
      <c r="Q8" s="36">
        <v>433952.02414179489</v>
      </c>
      <c r="R8" s="36">
        <v>433952.02414179489</v>
      </c>
      <c r="S8" s="36">
        <v>433952.02414179489</v>
      </c>
      <c r="T8" s="36">
        <v>433952.02414179489</v>
      </c>
      <c r="U8" s="36">
        <v>433952.02414179489</v>
      </c>
      <c r="V8" s="37">
        <v>433952.02414179489</v>
      </c>
      <c r="W8" s="5"/>
      <c r="X8" s="17"/>
    </row>
    <row r="9" spans="1:24" s="18" customFormat="1" ht="14.25">
      <c r="A9" s="39" t="s">
        <v>17</v>
      </c>
      <c r="B9" s="40" t="s">
        <v>1</v>
      </c>
      <c r="C9" s="36">
        <v>103088.95339863784</v>
      </c>
      <c r="D9" s="36">
        <v>243438.97429075916</v>
      </c>
      <c r="E9" s="36">
        <v>421050.06267636403</v>
      </c>
      <c r="F9" s="36">
        <v>710444.35354241985</v>
      </c>
      <c r="G9" s="36">
        <v>888055.44192802487</v>
      </c>
      <c r="H9" s="36">
        <v>888055.44192802487</v>
      </c>
      <c r="I9" s="36">
        <v>888055.44192802487</v>
      </c>
      <c r="J9" s="36">
        <v>888055.44192802487</v>
      </c>
      <c r="K9" s="36">
        <v>888055.44192802487</v>
      </c>
      <c r="L9" s="36">
        <v>888055.44192802487</v>
      </c>
      <c r="M9" s="36">
        <v>888055.44192802487</v>
      </c>
      <c r="N9" s="36">
        <v>888055.44192802487</v>
      </c>
      <c r="O9" s="36">
        <v>888055.44192802487</v>
      </c>
      <c r="P9" s="36">
        <v>888055.44192802487</v>
      </c>
      <c r="Q9" s="36">
        <v>888055.44192802487</v>
      </c>
      <c r="R9" s="36">
        <v>888055.44192802487</v>
      </c>
      <c r="S9" s="36">
        <v>888055.44192802487</v>
      </c>
      <c r="T9" s="36">
        <v>888055.44192802487</v>
      </c>
      <c r="U9" s="36">
        <v>888055.44192802487</v>
      </c>
      <c r="V9" s="37">
        <v>888055.44192802487</v>
      </c>
      <c r="W9" s="5"/>
      <c r="X9" s="17"/>
    </row>
    <row r="10" spans="1:24" s="18" customFormat="1" ht="14.25">
      <c r="A10" s="161" t="s">
        <v>50</v>
      </c>
      <c r="B10" s="54" t="s">
        <v>1</v>
      </c>
      <c r="C10" s="36">
        <v>137355.34141039898</v>
      </c>
      <c r="D10" s="36">
        <v>274710.68282079796</v>
      </c>
      <c r="E10" s="36">
        <v>412066.02423119696</v>
      </c>
      <c r="F10" s="36">
        <v>549421.36564159591</v>
      </c>
      <c r="G10" s="36">
        <v>686776.70705199498</v>
      </c>
      <c r="H10" s="36">
        <v>686776.70705199498</v>
      </c>
      <c r="I10" s="36">
        <v>686776.70705199498</v>
      </c>
      <c r="J10" s="36">
        <v>686776.70705199498</v>
      </c>
      <c r="K10" s="36">
        <v>686776.70705199498</v>
      </c>
      <c r="L10" s="36">
        <v>686776.70705199498</v>
      </c>
      <c r="M10" s="36">
        <v>686776.70705199498</v>
      </c>
      <c r="N10" s="36">
        <v>686776.70705199498</v>
      </c>
      <c r="O10" s="36">
        <v>686776.70705199498</v>
      </c>
      <c r="P10" s="36">
        <v>686776.70705199498</v>
      </c>
      <c r="Q10" s="36">
        <v>686776.70705199498</v>
      </c>
      <c r="R10" s="36">
        <v>686776.70705199498</v>
      </c>
      <c r="S10" s="36">
        <v>686776.70705199498</v>
      </c>
      <c r="T10" s="36">
        <v>686776.70705199498</v>
      </c>
      <c r="U10" s="36">
        <v>686776.70705199498</v>
      </c>
      <c r="V10" s="37">
        <v>686776.70705199498</v>
      </c>
      <c r="W10" s="5"/>
      <c r="X10" s="17"/>
    </row>
    <row r="11" spans="1:24" s="18" customFormat="1" ht="14.25">
      <c r="A11" s="162" t="s">
        <v>19</v>
      </c>
      <c r="B11" s="144" t="s">
        <v>1</v>
      </c>
      <c r="C11" s="36">
        <v>296821.30884269584</v>
      </c>
      <c r="D11" s="36">
        <v>819350.44948774856</v>
      </c>
      <c r="E11" s="36">
        <v>1491269.1093298877</v>
      </c>
      <c r="F11" s="36">
        <v>2427599.9825446899</v>
      </c>
      <c r="G11" s="36">
        <v>3034499.978180863</v>
      </c>
      <c r="H11" s="36">
        <v>3034499.978180863</v>
      </c>
      <c r="I11" s="36">
        <v>3034499.978180863</v>
      </c>
      <c r="J11" s="36">
        <v>3034499.978180863</v>
      </c>
      <c r="K11" s="36">
        <v>3034499.978180863</v>
      </c>
      <c r="L11" s="36">
        <v>3034499.978180863</v>
      </c>
      <c r="M11" s="36">
        <v>3034499.978180863</v>
      </c>
      <c r="N11" s="36">
        <v>3034499.978180863</v>
      </c>
      <c r="O11" s="36">
        <v>3034499.978180863</v>
      </c>
      <c r="P11" s="36">
        <v>3034499.978180863</v>
      </c>
      <c r="Q11" s="36">
        <v>3034499.978180863</v>
      </c>
      <c r="R11" s="36">
        <v>3034499.978180863</v>
      </c>
      <c r="S11" s="36">
        <v>3034499.978180863</v>
      </c>
      <c r="T11" s="36">
        <v>3034499.978180863</v>
      </c>
      <c r="U11" s="36">
        <v>3034499.978180863</v>
      </c>
      <c r="V11" s="37">
        <v>3034499.978180863</v>
      </c>
      <c r="W11" s="5"/>
      <c r="X11" s="17"/>
    </row>
    <row r="12" spans="1:24" s="18" customFormat="1" ht="14.25">
      <c r="A12" s="163" t="s">
        <v>3</v>
      </c>
      <c r="B12" s="54"/>
      <c r="C12" s="36"/>
      <c r="D12" s="36"/>
      <c r="E12" s="36"/>
      <c r="F12" s="36"/>
      <c r="G12" s="36"/>
      <c r="H12" s="36"/>
      <c r="I12" s="36"/>
      <c r="J12" s="36"/>
      <c r="K12" s="36"/>
      <c r="L12" s="36"/>
      <c r="M12" s="36"/>
      <c r="N12" s="36"/>
      <c r="O12" s="36"/>
      <c r="P12" s="36"/>
      <c r="Q12" s="36"/>
      <c r="R12" s="36"/>
      <c r="S12" s="36"/>
      <c r="T12" s="36"/>
      <c r="U12" s="36"/>
      <c r="V12" s="37"/>
      <c r="W12" s="5"/>
      <c r="X12" s="17"/>
    </row>
    <row r="13" spans="1:24" s="18" customFormat="1" ht="14.25">
      <c r="A13" s="164" t="s">
        <v>20</v>
      </c>
      <c r="B13" s="35" t="s">
        <v>1</v>
      </c>
      <c r="C13" s="36">
        <v>275500.03064770374</v>
      </c>
      <c r="D13" s="36">
        <v>275500.03064770374</v>
      </c>
      <c r="E13" s="36">
        <v>275500.03064770374</v>
      </c>
      <c r="F13" s="36">
        <v>275500.03064770374</v>
      </c>
      <c r="G13" s="36">
        <v>275500.03064770374</v>
      </c>
      <c r="H13" s="36"/>
      <c r="I13" s="36"/>
      <c r="J13" s="36"/>
      <c r="K13" s="36"/>
      <c r="L13" s="36"/>
      <c r="M13" s="36"/>
      <c r="N13" s="36"/>
      <c r="O13" s="36"/>
      <c r="P13" s="36"/>
      <c r="Q13" s="36"/>
      <c r="R13" s="36"/>
      <c r="S13" s="36"/>
      <c r="T13" s="36"/>
      <c r="U13" s="36"/>
      <c r="V13" s="37"/>
      <c r="W13" s="5"/>
      <c r="X13" s="17"/>
    </row>
    <row r="14" spans="1:24" s="18" customFormat="1" ht="14.25">
      <c r="A14" s="164" t="s">
        <v>13</v>
      </c>
      <c r="B14" s="35" t="s">
        <v>1</v>
      </c>
      <c r="C14" s="36">
        <v>77091.623131760614</v>
      </c>
      <c r="D14" s="36">
        <v>154183.24626352123</v>
      </c>
      <c r="E14" s="36">
        <v>231274.86939528183</v>
      </c>
      <c r="F14" s="36">
        <v>308366.49252704246</v>
      </c>
      <c r="G14" s="36">
        <v>385458.11565880314</v>
      </c>
      <c r="H14" s="36">
        <v>385458.11565880314</v>
      </c>
      <c r="I14" s="36">
        <v>385458.11565880314</v>
      </c>
      <c r="J14" s="36">
        <v>385458.11565880314</v>
      </c>
      <c r="K14" s="36">
        <v>385458.11565880314</v>
      </c>
      <c r="L14" s="36">
        <v>385458.11565880314</v>
      </c>
      <c r="M14" s="36">
        <v>385458.11565880314</v>
      </c>
      <c r="N14" s="36">
        <v>385458.11565880314</v>
      </c>
      <c r="O14" s="36">
        <v>385458.11565880314</v>
      </c>
      <c r="P14" s="36">
        <v>385458.11565880314</v>
      </c>
      <c r="Q14" s="36">
        <v>385458.11565880314</v>
      </c>
      <c r="R14" s="36">
        <v>385458.11565880314</v>
      </c>
      <c r="S14" s="36">
        <v>385458.11565880314</v>
      </c>
      <c r="T14" s="36">
        <v>385458.11565880314</v>
      </c>
      <c r="U14" s="36">
        <v>385458.11565880314</v>
      </c>
      <c r="V14" s="37">
        <v>385458.11565880314</v>
      </c>
      <c r="W14" s="5"/>
      <c r="X14" s="17"/>
    </row>
    <row r="15" spans="1:24" s="48" customFormat="1" ht="14.25">
      <c r="A15" s="165" t="s">
        <v>14</v>
      </c>
      <c r="B15" s="35" t="s">
        <v>1</v>
      </c>
      <c r="C15" s="36">
        <v>35155.964890303861</v>
      </c>
      <c r="D15" s="36">
        <v>70311.929780607723</v>
      </c>
      <c r="E15" s="36">
        <v>105467.89467091157</v>
      </c>
      <c r="F15" s="36">
        <v>140623.85956121545</v>
      </c>
      <c r="G15" s="36">
        <v>175779.82445151932</v>
      </c>
      <c r="H15" s="36">
        <v>175779.82445151932</v>
      </c>
      <c r="I15" s="36">
        <v>175779.82445151932</v>
      </c>
      <c r="J15" s="36">
        <v>175779.82445151932</v>
      </c>
      <c r="K15" s="36">
        <v>175779.82445151932</v>
      </c>
      <c r="L15" s="36">
        <v>175779.82445151932</v>
      </c>
      <c r="M15" s="36">
        <v>175779.82445151932</v>
      </c>
      <c r="N15" s="36">
        <v>175779.82445151932</v>
      </c>
      <c r="O15" s="36">
        <v>175779.82445151932</v>
      </c>
      <c r="P15" s="36">
        <v>175779.82445151932</v>
      </c>
      <c r="Q15" s="36">
        <v>175779.82445151932</v>
      </c>
      <c r="R15" s="36">
        <v>175779.82445151932</v>
      </c>
      <c r="S15" s="36">
        <v>175779.82445151932</v>
      </c>
      <c r="T15" s="36">
        <v>175779.82445151932</v>
      </c>
      <c r="U15" s="36">
        <v>175779.82445151932</v>
      </c>
      <c r="V15" s="37">
        <v>175779.82445151932</v>
      </c>
      <c r="W15" s="5"/>
      <c r="X15" s="47"/>
    </row>
    <row r="16" spans="1:24" s="48" customFormat="1" ht="14.25">
      <c r="A16" s="165" t="s">
        <v>15</v>
      </c>
      <c r="B16" s="35" t="s">
        <v>1</v>
      </c>
      <c r="C16" s="36">
        <v>46069.162528583976</v>
      </c>
      <c r="D16" s="36">
        <v>92138.325057167953</v>
      </c>
      <c r="E16" s="36">
        <v>138207.48758575192</v>
      </c>
      <c r="F16" s="36">
        <v>184276.65011433591</v>
      </c>
      <c r="G16" s="36">
        <v>230345.81264291989</v>
      </c>
      <c r="H16" s="36">
        <v>230345.81264291989</v>
      </c>
      <c r="I16" s="36">
        <v>230345.81264291989</v>
      </c>
      <c r="J16" s="36">
        <v>230345.81264291989</v>
      </c>
      <c r="K16" s="36">
        <v>230345.81264291989</v>
      </c>
      <c r="L16" s="36">
        <v>230345.81264291989</v>
      </c>
      <c r="M16" s="36">
        <v>230345.81264291989</v>
      </c>
      <c r="N16" s="36">
        <v>230345.81264291989</v>
      </c>
      <c r="O16" s="36">
        <v>230345.81264291989</v>
      </c>
      <c r="P16" s="36">
        <v>230345.81264291989</v>
      </c>
      <c r="Q16" s="36">
        <v>230345.81264291989</v>
      </c>
      <c r="R16" s="36">
        <v>230345.81264291989</v>
      </c>
      <c r="S16" s="36">
        <v>230345.81264291989</v>
      </c>
      <c r="T16" s="36">
        <v>230345.81264291989</v>
      </c>
      <c r="U16" s="36">
        <v>230345.81264291989</v>
      </c>
      <c r="V16" s="37">
        <v>230345.81264291989</v>
      </c>
      <c r="W16" s="5"/>
      <c r="X16" s="47"/>
    </row>
    <row r="17" spans="1:24" s="48" customFormat="1" ht="14.25">
      <c r="A17" s="166" t="s">
        <v>16</v>
      </c>
      <c r="B17" s="35" t="s">
        <v>1</v>
      </c>
      <c r="C17" s="36">
        <v>67868.127936138117</v>
      </c>
      <c r="D17" s="36">
        <v>135736.25587227623</v>
      </c>
      <c r="E17" s="36">
        <v>203604.38380841442</v>
      </c>
      <c r="F17" s="36">
        <v>271472.51174455247</v>
      </c>
      <c r="G17" s="36">
        <v>339340.63968069066</v>
      </c>
      <c r="H17" s="36">
        <v>339340.63968069066</v>
      </c>
      <c r="I17" s="36">
        <v>339340.63968069066</v>
      </c>
      <c r="J17" s="36">
        <v>339340.63968069066</v>
      </c>
      <c r="K17" s="36">
        <v>339340.63968069066</v>
      </c>
      <c r="L17" s="36">
        <v>339340.63968069066</v>
      </c>
      <c r="M17" s="36">
        <v>339340.63968069066</v>
      </c>
      <c r="N17" s="36">
        <v>339340.63968069066</v>
      </c>
      <c r="O17" s="36">
        <v>339340.63968069066</v>
      </c>
      <c r="P17" s="36">
        <v>339340.63968069066</v>
      </c>
      <c r="Q17" s="36">
        <v>339340.63968069066</v>
      </c>
      <c r="R17" s="36">
        <v>339340.63968069066</v>
      </c>
      <c r="S17" s="36">
        <v>339340.63968069066</v>
      </c>
      <c r="T17" s="36">
        <v>339340.63968069066</v>
      </c>
      <c r="U17" s="36">
        <v>339340.63968069066</v>
      </c>
      <c r="V17" s="37">
        <v>339340.63968069066</v>
      </c>
      <c r="W17" s="5"/>
      <c r="X17" s="47"/>
    </row>
    <row r="18" spans="1:24" s="18" customFormat="1" thickBot="1">
      <c r="A18" s="167" t="s">
        <v>17</v>
      </c>
      <c r="B18" s="154" t="s">
        <v>1</v>
      </c>
      <c r="C18" s="145">
        <v>160660.80484912248</v>
      </c>
      <c r="D18" s="145">
        <v>321321.60969824495</v>
      </c>
      <c r="E18" s="145">
        <v>481982.41454736743</v>
      </c>
      <c r="F18" s="145">
        <v>642643.21939648991</v>
      </c>
      <c r="G18" s="145">
        <v>803304.02424561232</v>
      </c>
      <c r="H18" s="145">
        <v>803304.02424561232</v>
      </c>
      <c r="I18" s="145">
        <v>803304.02424561232</v>
      </c>
      <c r="J18" s="145">
        <v>803304.02424561232</v>
      </c>
      <c r="K18" s="145">
        <v>803304.02424561232</v>
      </c>
      <c r="L18" s="145">
        <v>803304.02424561232</v>
      </c>
      <c r="M18" s="145">
        <v>803304.02424561232</v>
      </c>
      <c r="N18" s="145">
        <v>803304.02424561232</v>
      </c>
      <c r="O18" s="145">
        <v>803304.02424561232</v>
      </c>
      <c r="P18" s="145">
        <v>803304.02424561232</v>
      </c>
      <c r="Q18" s="145">
        <v>803304.02424561232</v>
      </c>
      <c r="R18" s="145">
        <v>803304.02424561232</v>
      </c>
      <c r="S18" s="145">
        <v>803304.02424561232</v>
      </c>
      <c r="T18" s="145">
        <v>803304.02424561232</v>
      </c>
      <c r="U18" s="145">
        <v>803304.02424561232</v>
      </c>
      <c r="V18" s="146">
        <v>803304.02424561232</v>
      </c>
      <c r="W18" s="5"/>
      <c r="X18" s="17"/>
    </row>
    <row r="19" spans="1:24" s="48" customFormat="1" thickBot="1">
      <c r="A19" s="168" t="s">
        <v>21</v>
      </c>
      <c r="B19" s="169" t="s">
        <v>1</v>
      </c>
      <c r="C19" s="170">
        <v>662345.71398361283</v>
      </c>
      <c r="D19" s="170">
        <v>1049191.3973195218</v>
      </c>
      <c r="E19" s="170">
        <v>1436037.0806554309</v>
      </c>
      <c r="F19" s="170">
        <v>1822882.7639913398</v>
      </c>
      <c r="G19" s="170">
        <v>2209728.4473272488</v>
      </c>
      <c r="H19" s="170">
        <v>1934228.4166795453</v>
      </c>
      <c r="I19" s="170">
        <v>1934228.4166795453</v>
      </c>
      <c r="J19" s="170">
        <v>1934228.4166795453</v>
      </c>
      <c r="K19" s="170">
        <v>1934228.4166795453</v>
      </c>
      <c r="L19" s="170">
        <v>1934228.4166795453</v>
      </c>
      <c r="M19" s="170">
        <v>1934228.4166795453</v>
      </c>
      <c r="N19" s="170">
        <v>1934228.4166795453</v>
      </c>
      <c r="O19" s="170">
        <v>1934228.4166795453</v>
      </c>
      <c r="P19" s="170">
        <v>1934228.4166795453</v>
      </c>
      <c r="Q19" s="170">
        <v>1934228.4166795453</v>
      </c>
      <c r="R19" s="170">
        <v>1934228.4166795453</v>
      </c>
      <c r="S19" s="170">
        <v>1934228.4166795453</v>
      </c>
      <c r="T19" s="170">
        <v>1934228.4166795453</v>
      </c>
      <c r="U19" s="170">
        <v>1934228.4166795453</v>
      </c>
      <c r="V19" s="171">
        <v>1934228.4166795453</v>
      </c>
      <c r="W19" s="5"/>
      <c r="X19" s="47"/>
    </row>
    <row r="20" spans="1:24" s="18" customFormat="1" thickBot="1">
      <c r="A20" s="172"/>
      <c r="B20" s="173"/>
      <c r="C20" s="174"/>
      <c r="D20" s="174"/>
      <c r="E20" s="174"/>
      <c r="F20" s="174"/>
      <c r="G20" s="174"/>
      <c r="H20" s="174"/>
      <c r="I20" s="174"/>
      <c r="J20" s="174"/>
      <c r="K20" s="174"/>
      <c r="L20" s="174"/>
      <c r="M20" s="174"/>
      <c r="N20" s="174"/>
      <c r="O20" s="174"/>
      <c r="P20" s="174"/>
      <c r="Q20" s="174"/>
      <c r="R20" s="174"/>
      <c r="S20" s="174"/>
      <c r="T20" s="174"/>
      <c r="U20" s="174"/>
      <c r="V20" s="175"/>
      <c r="W20" s="5"/>
      <c r="X20" s="17"/>
    </row>
    <row r="21" spans="1:24" s="18" customFormat="1" thickBot="1">
      <c r="A21" s="176" t="s">
        <v>0</v>
      </c>
      <c r="B21" s="44" t="s">
        <v>1</v>
      </c>
      <c r="C21" s="145">
        <v>-365524.40514091699</v>
      </c>
      <c r="D21" s="145">
        <v>-229840.9478317732</v>
      </c>
      <c r="E21" s="145">
        <v>55232.028674456757</v>
      </c>
      <c r="F21" s="145">
        <v>604717.21855335007</v>
      </c>
      <c r="G21" s="145">
        <v>824771.53085361421</v>
      </c>
      <c r="H21" s="145">
        <v>1100271.5615013177</v>
      </c>
      <c r="I21" s="145">
        <v>1100271.5615013177</v>
      </c>
      <c r="J21" s="145">
        <v>1100271.5615013177</v>
      </c>
      <c r="K21" s="145">
        <v>1100271.5615013177</v>
      </c>
      <c r="L21" s="145">
        <v>1100271.5615013177</v>
      </c>
      <c r="M21" s="145">
        <v>1100271.5615013177</v>
      </c>
      <c r="N21" s="145">
        <v>1100271.5615013177</v>
      </c>
      <c r="O21" s="145">
        <v>1100271.5615013177</v>
      </c>
      <c r="P21" s="145">
        <v>1100271.5615013177</v>
      </c>
      <c r="Q21" s="145">
        <v>1100271.5615013177</v>
      </c>
      <c r="R21" s="145">
        <v>1100271.5615013177</v>
      </c>
      <c r="S21" s="145">
        <v>1100271.5615013177</v>
      </c>
      <c r="T21" s="145">
        <v>1100271.5615013177</v>
      </c>
      <c r="U21" s="145">
        <v>1100271.5615013177</v>
      </c>
      <c r="V21" s="146">
        <v>1100271.5615013177</v>
      </c>
      <c r="W21" s="5"/>
      <c r="X21" s="17"/>
    </row>
    <row r="22" spans="1:24" s="18" customFormat="1" thickBot="1">
      <c r="A22" s="64"/>
      <c r="B22" s="22"/>
      <c r="C22" s="65"/>
      <c r="D22" s="65"/>
      <c r="E22" s="65"/>
      <c r="F22" s="65"/>
      <c r="G22" s="65"/>
      <c r="H22" s="65"/>
      <c r="I22" s="66"/>
      <c r="J22" s="66"/>
      <c r="K22" s="67"/>
      <c r="L22" s="67"/>
      <c r="M22" s="67"/>
      <c r="N22" s="67"/>
      <c r="O22" s="67"/>
      <c r="P22" s="67"/>
      <c r="Q22" s="67"/>
      <c r="R22" s="67"/>
      <c r="S22" s="67"/>
      <c r="T22" s="67"/>
      <c r="U22" s="67"/>
      <c r="V22" s="68"/>
      <c r="W22" s="69"/>
      <c r="X22" s="17"/>
    </row>
    <row r="23" spans="1:24" s="18" customFormat="1" ht="14.25">
      <c r="A23" s="134" t="s">
        <v>22</v>
      </c>
      <c r="B23" s="135"/>
      <c r="C23" s="70"/>
      <c r="D23" s="71"/>
      <c r="E23" s="71"/>
      <c r="F23" s="71"/>
      <c r="G23" s="71"/>
      <c r="H23" s="71"/>
      <c r="I23" s="72"/>
      <c r="J23" s="72"/>
      <c r="K23" s="66"/>
      <c r="L23" s="66"/>
      <c r="M23" s="66"/>
      <c r="N23" s="66"/>
      <c r="O23" s="66"/>
      <c r="P23" s="66"/>
      <c r="Q23" s="66"/>
      <c r="R23" s="66"/>
      <c r="S23" s="66"/>
      <c r="T23" s="66"/>
      <c r="U23" s="66"/>
      <c r="V23" s="73"/>
      <c r="W23" s="74"/>
      <c r="X23" s="17"/>
    </row>
    <row r="24" spans="1:24" s="18" customFormat="1" ht="14.25">
      <c r="A24" s="53" t="s">
        <v>10</v>
      </c>
      <c r="B24" s="75">
        <v>0.06</v>
      </c>
      <c r="C24" s="70"/>
      <c r="D24" s="71"/>
      <c r="E24" s="71"/>
      <c r="F24" s="71"/>
      <c r="G24" s="71"/>
      <c r="H24" s="71"/>
      <c r="I24" s="72"/>
      <c r="J24" s="72"/>
      <c r="K24" s="72"/>
      <c r="L24" s="72"/>
      <c r="M24" s="72"/>
      <c r="N24" s="72"/>
      <c r="O24" s="72"/>
      <c r="P24" s="72"/>
      <c r="Q24" s="72"/>
      <c r="R24" s="72"/>
      <c r="S24" s="72"/>
      <c r="T24" s="72"/>
      <c r="U24" s="72"/>
      <c r="V24" s="76"/>
      <c r="W24" s="74"/>
      <c r="X24" s="17"/>
    </row>
    <row r="25" spans="1:24" s="18" customFormat="1" thickBot="1">
      <c r="A25" s="136" t="s">
        <v>23</v>
      </c>
      <c r="B25" s="137"/>
      <c r="C25" s="77"/>
      <c r="D25" s="72"/>
      <c r="E25" s="72"/>
      <c r="F25" s="72"/>
      <c r="G25" s="72"/>
      <c r="H25" s="72"/>
      <c r="I25" s="72"/>
      <c r="J25" s="72"/>
      <c r="K25" s="72"/>
      <c r="L25" s="72"/>
      <c r="M25" s="72"/>
      <c r="N25" s="72"/>
      <c r="O25" s="72"/>
      <c r="P25" s="72"/>
      <c r="Q25" s="72"/>
      <c r="R25" s="72"/>
      <c r="S25" s="72"/>
      <c r="T25" s="72"/>
      <c r="U25" s="72"/>
      <c r="V25" s="76"/>
      <c r="W25" s="74"/>
      <c r="X25" s="17"/>
    </row>
    <row r="26" spans="1:24" s="18" customFormat="1" thickBot="1">
      <c r="A26" s="78" t="s">
        <v>7</v>
      </c>
      <c r="B26" s="147">
        <v>8577575.9000402652</v>
      </c>
      <c r="C26" s="80" t="s">
        <v>1</v>
      </c>
      <c r="D26" s="80"/>
      <c r="E26" s="80"/>
      <c r="F26" s="80"/>
      <c r="G26" s="80"/>
      <c r="H26" s="80"/>
      <c r="I26" s="80"/>
      <c r="J26" s="80"/>
      <c r="K26" s="72"/>
      <c r="L26" s="72"/>
      <c r="M26" s="72"/>
      <c r="N26" s="72"/>
      <c r="O26" s="72"/>
      <c r="P26" s="72"/>
      <c r="Q26" s="72"/>
      <c r="R26" s="72"/>
      <c r="S26" s="72"/>
      <c r="T26" s="72"/>
      <c r="U26" s="72"/>
      <c r="V26" s="76"/>
      <c r="W26" s="74"/>
      <c r="X26" s="17"/>
    </row>
    <row r="27" spans="1:24" s="18" customFormat="1" thickBot="1">
      <c r="A27" s="78" t="s">
        <v>8</v>
      </c>
      <c r="B27" s="81">
        <v>0.64247098484377418</v>
      </c>
      <c r="C27" s="82" t="s">
        <v>24</v>
      </c>
      <c r="D27" s="82"/>
      <c r="E27" s="82"/>
      <c r="F27" s="82"/>
      <c r="G27" s="82"/>
      <c r="H27" s="82"/>
      <c r="I27" s="82"/>
      <c r="J27" s="82"/>
      <c r="K27" s="72"/>
      <c r="L27" s="72"/>
      <c r="M27" s="72"/>
      <c r="N27" s="72"/>
      <c r="O27" s="72"/>
      <c r="P27" s="72"/>
      <c r="Q27" s="72"/>
      <c r="R27" s="72"/>
      <c r="S27" s="72"/>
      <c r="T27" s="72"/>
      <c r="U27" s="72"/>
      <c r="V27" s="76"/>
      <c r="W27" s="74"/>
      <c r="X27" s="17"/>
    </row>
    <row r="28" spans="1:24" s="18" customFormat="1" thickBot="1">
      <c r="A28" s="78" t="s">
        <v>9</v>
      </c>
      <c r="B28" s="81">
        <v>0.22896572613649835</v>
      </c>
      <c r="C28" s="80" t="s">
        <v>24</v>
      </c>
      <c r="D28" s="80"/>
      <c r="E28" s="80"/>
      <c r="F28" s="80"/>
      <c r="G28" s="80"/>
      <c r="H28" s="80"/>
      <c r="I28" s="80"/>
      <c r="J28" s="80"/>
      <c r="K28" s="72"/>
      <c r="L28" s="72"/>
      <c r="M28" s="72"/>
      <c r="N28" s="72"/>
      <c r="O28" s="72"/>
      <c r="P28" s="72"/>
      <c r="Q28" s="72"/>
      <c r="R28" s="72"/>
      <c r="S28" s="72"/>
      <c r="T28" s="72"/>
      <c r="U28" s="72"/>
      <c r="V28" s="76"/>
      <c r="W28" s="74"/>
      <c r="X28" s="17"/>
    </row>
    <row r="29" spans="1:24" s="18" customFormat="1" thickBot="1">
      <c r="A29" s="177" t="s">
        <v>25</v>
      </c>
      <c r="B29" s="178">
        <v>1.4805662671677793</v>
      </c>
      <c r="C29" s="17"/>
      <c r="V29" s="90"/>
      <c r="W29" s="91"/>
      <c r="X29" s="17"/>
    </row>
    <row r="30" spans="1:24">
      <c r="A30" s="179"/>
      <c r="B30" s="179"/>
    </row>
    <row r="33" spans="1:24" s="102" customFormat="1" ht="12.75" customHeight="1" thickBot="1">
      <c r="B33" s="103" t="s">
        <v>26</v>
      </c>
      <c r="C33" s="104"/>
      <c r="D33" s="104"/>
      <c r="E33" s="104"/>
      <c r="F33" s="104"/>
      <c r="G33" s="104"/>
      <c r="H33" s="104"/>
      <c r="I33" s="104"/>
      <c r="J33" s="104"/>
      <c r="K33" s="104"/>
      <c r="L33" s="104"/>
      <c r="M33" s="104"/>
      <c r="N33" s="104"/>
      <c r="O33" s="104"/>
      <c r="P33" s="104"/>
      <c r="Q33" s="104"/>
      <c r="R33" s="104"/>
      <c r="S33" s="104"/>
      <c r="T33" s="104"/>
      <c r="U33" s="104"/>
      <c r="V33" s="105"/>
      <c r="W33" s="106"/>
      <c r="X33" s="107"/>
    </row>
    <row r="34" spans="1:24" s="102" customFormat="1" ht="12.75">
      <c r="B34" s="108" t="s">
        <v>27</v>
      </c>
      <c r="C34" s="109">
        <v>0</v>
      </c>
      <c r="D34" s="110">
        <v>1</v>
      </c>
      <c r="E34" s="110">
        <v>2</v>
      </c>
      <c r="F34" s="110">
        <v>3</v>
      </c>
      <c r="G34" s="110">
        <v>4</v>
      </c>
      <c r="H34" s="110">
        <v>5</v>
      </c>
      <c r="I34" s="110">
        <v>6</v>
      </c>
      <c r="J34" s="110">
        <v>7</v>
      </c>
      <c r="K34" s="110">
        <v>8</v>
      </c>
      <c r="L34" s="110">
        <v>9</v>
      </c>
      <c r="M34" s="110">
        <v>10</v>
      </c>
      <c r="N34" s="110">
        <v>11</v>
      </c>
      <c r="O34" s="110">
        <v>12</v>
      </c>
      <c r="P34" s="110">
        <v>13</v>
      </c>
      <c r="Q34" s="110">
        <v>14</v>
      </c>
      <c r="R34" s="110">
        <v>15</v>
      </c>
      <c r="S34" s="110">
        <v>16</v>
      </c>
      <c r="T34" s="110">
        <v>17</v>
      </c>
      <c r="U34" s="110">
        <v>18</v>
      </c>
      <c r="V34" s="110">
        <v>19</v>
      </c>
      <c r="W34" s="111">
        <v>20</v>
      </c>
      <c r="X34" s="107"/>
    </row>
    <row r="35" spans="1:24" s="102" customFormat="1" ht="12.75">
      <c r="B35" s="108" t="s">
        <v>28</v>
      </c>
      <c r="C35" s="112">
        <v>-1377500.1532385186</v>
      </c>
      <c r="D35" s="113"/>
      <c r="E35" s="113"/>
      <c r="F35" s="113"/>
      <c r="G35" s="113"/>
      <c r="H35" s="113"/>
      <c r="I35" s="113"/>
      <c r="J35" s="113"/>
      <c r="K35" s="113"/>
      <c r="L35" s="113"/>
      <c r="M35" s="113"/>
      <c r="N35" s="113"/>
      <c r="O35" s="113"/>
      <c r="P35" s="113"/>
      <c r="Q35" s="113"/>
      <c r="R35" s="113"/>
      <c r="S35" s="113"/>
      <c r="T35" s="113"/>
      <c r="U35" s="113"/>
      <c r="V35" s="113"/>
      <c r="W35" s="114"/>
      <c r="X35" s="107"/>
    </row>
    <row r="36" spans="1:24" s="102" customFormat="1" ht="12.75">
      <c r="B36" s="108" t="s">
        <v>29</v>
      </c>
      <c r="D36" s="115">
        <v>-90024.374493213196</v>
      </c>
      <c r="E36" s="115">
        <v>45659.08281593048</v>
      </c>
      <c r="F36" s="115">
        <v>330732.05932216044</v>
      </c>
      <c r="G36" s="115">
        <v>880217.24920105375</v>
      </c>
      <c r="H36" s="115">
        <v>1100271.5615013177</v>
      </c>
      <c r="I36" s="115">
        <v>3034499.978180863</v>
      </c>
      <c r="J36" s="115">
        <v>3034499.978180863</v>
      </c>
      <c r="K36" s="115">
        <v>3034499.978180863</v>
      </c>
      <c r="L36" s="115">
        <v>3034499.978180863</v>
      </c>
      <c r="M36" s="115">
        <v>3034499.978180863</v>
      </c>
      <c r="N36" s="115">
        <v>3034499.978180863</v>
      </c>
      <c r="O36" s="115">
        <v>3034499.978180863</v>
      </c>
      <c r="P36" s="115">
        <v>3034499.978180863</v>
      </c>
      <c r="Q36" s="115">
        <v>3034499.978180863</v>
      </c>
      <c r="R36" s="115">
        <v>3034499.978180863</v>
      </c>
      <c r="S36" s="115">
        <v>3034499.978180863</v>
      </c>
      <c r="T36" s="115">
        <v>3034499.978180863</v>
      </c>
      <c r="U36" s="115">
        <v>3034499.978180863</v>
      </c>
      <c r="V36" s="115">
        <v>3034499.978180863</v>
      </c>
      <c r="W36" s="116">
        <v>3034499.978180863</v>
      </c>
      <c r="X36" s="107"/>
    </row>
    <row r="37" spans="1:24" s="102" customFormat="1" ht="13.5" thickBot="1">
      <c r="B37" s="108" t="s">
        <v>30</v>
      </c>
      <c r="C37" s="117">
        <v>-1377500.1532385186</v>
      </c>
      <c r="D37" s="118">
        <v>-1467524.5277317318</v>
      </c>
      <c r="E37" s="118">
        <v>-1421865.4449158013</v>
      </c>
      <c r="F37" s="118">
        <v>-1091133.3855936409</v>
      </c>
      <c r="G37" s="118">
        <v>-210916.1363925871</v>
      </c>
      <c r="H37" s="118">
        <v>889355.42510873056</v>
      </c>
      <c r="I37" s="118">
        <v>3923855.4032895938</v>
      </c>
      <c r="J37" s="118">
        <v>6958355.3814704567</v>
      </c>
      <c r="K37" s="118">
        <v>9992855.3596513197</v>
      </c>
      <c r="L37" s="118">
        <v>13027355.337832183</v>
      </c>
      <c r="M37" s="118">
        <v>16061855.316013046</v>
      </c>
      <c r="N37" s="118">
        <v>19096355.294193909</v>
      </c>
      <c r="O37" s="118">
        <v>22130855.272374772</v>
      </c>
      <c r="P37" s="118">
        <v>25165355.250555634</v>
      </c>
      <c r="Q37" s="118">
        <v>28199855.228736497</v>
      </c>
      <c r="R37" s="118">
        <v>31234355.20691736</v>
      </c>
      <c r="S37" s="118">
        <v>34268855.185098223</v>
      </c>
      <c r="T37" s="118">
        <v>37303355.163279086</v>
      </c>
      <c r="U37" s="118">
        <v>40337855.141459949</v>
      </c>
      <c r="V37" s="118">
        <v>43372355.119640812</v>
      </c>
      <c r="W37" s="119">
        <v>46406855.097821675</v>
      </c>
      <c r="X37" s="107"/>
    </row>
    <row r="38" spans="1:24" s="128" customFormat="1" ht="14.25">
      <c r="A38" s="120"/>
      <c r="B38" s="121"/>
      <c r="C38" s="122"/>
      <c r="D38" s="123"/>
      <c r="E38" s="124"/>
      <c r="F38" s="124"/>
      <c r="G38" s="124"/>
      <c r="H38" s="124"/>
      <c r="I38" s="124"/>
      <c r="J38" s="124"/>
      <c r="K38" s="124"/>
      <c r="L38" s="124"/>
      <c r="M38" s="124"/>
      <c r="N38" s="124"/>
      <c r="O38" s="124"/>
      <c r="P38" s="124"/>
      <c r="Q38" s="124"/>
      <c r="R38" s="124"/>
      <c r="S38" s="124"/>
      <c r="T38" s="124"/>
      <c r="U38" s="124"/>
      <c r="V38" s="125"/>
      <c r="W38" s="126"/>
      <c r="X38" s="127"/>
    </row>
    <row r="39" spans="1:24" s="128" customFormat="1" thickBot="1">
      <c r="B39" s="129" t="s">
        <v>31</v>
      </c>
      <c r="C39" s="130">
        <v>5.2396182721754538</v>
      </c>
      <c r="D39" s="127"/>
      <c r="V39" s="121"/>
      <c r="W39" s="126"/>
      <c r="X39" s="127"/>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dimension ref="A1:X42"/>
  <sheetViews>
    <sheetView showGridLines="0" topLeftCell="A9" zoomScale="70" zoomScaleNormal="70" workbookViewId="0">
      <selection sqref="A1:XFD1048576"/>
    </sheetView>
  </sheetViews>
  <sheetFormatPr defaultColWidth="9" defaultRowHeight="15"/>
  <cols>
    <col min="1" max="1" width="76.140625" style="98" customWidth="1"/>
    <col min="2" max="2" width="13.5703125" style="98" customWidth="1"/>
    <col min="3" max="3" width="16.42578125" style="98" bestFit="1" customWidth="1"/>
    <col min="4" max="4" width="15.28515625" style="98" customWidth="1"/>
    <col min="5" max="6" width="15.85546875" style="98" bestFit="1" customWidth="1"/>
    <col min="7" max="23" width="15.85546875" style="98" customWidth="1"/>
    <col min="24" max="16384" width="9" style="98"/>
  </cols>
  <sheetData>
    <row r="1" spans="1:24" s="18" customFormat="1" ht="15.75" thickBot="1">
      <c r="A1" s="131" t="s">
        <v>32</v>
      </c>
      <c r="B1" s="132"/>
      <c r="C1" s="132"/>
      <c r="D1" s="132"/>
      <c r="E1" s="132"/>
      <c r="F1" s="132"/>
      <c r="G1" s="132"/>
      <c r="H1" s="132"/>
      <c r="I1" s="132"/>
      <c r="J1" s="132"/>
      <c r="K1" s="132"/>
      <c r="L1" s="132"/>
      <c r="M1" s="132"/>
      <c r="N1" s="132"/>
      <c r="O1" s="132"/>
      <c r="P1" s="132"/>
      <c r="Q1" s="132"/>
      <c r="R1" s="132"/>
      <c r="S1" s="132"/>
      <c r="T1" s="132"/>
      <c r="U1" s="132"/>
      <c r="V1" s="132"/>
      <c r="W1" s="133"/>
      <c r="X1" s="17"/>
    </row>
    <row r="2" spans="1:24" s="18" customFormat="1" ht="14.25">
      <c r="A2" s="19"/>
      <c r="B2" s="20" t="s">
        <v>12</v>
      </c>
      <c r="C2" s="20"/>
      <c r="D2" s="20"/>
      <c r="E2" s="20"/>
      <c r="F2" s="20"/>
      <c r="G2" s="20"/>
      <c r="H2" s="20"/>
      <c r="I2" s="20"/>
      <c r="J2" s="20"/>
      <c r="K2" s="20"/>
      <c r="L2" s="20"/>
      <c r="M2" s="20"/>
      <c r="N2" s="20"/>
      <c r="O2" s="20"/>
      <c r="P2" s="20"/>
      <c r="Q2" s="20"/>
      <c r="R2" s="20"/>
      <c r="S2" s="20"/>
      <c r="T2" s="20"/>
      <c r="U2" s="20"/>
      <c r="V2" s="20"/>
      <c r="W2" s="21"/>
      <c r="X2" s="17"/>
    </row>
    <row r="3" spans="1:24" s="18" customFormat="1" ht="14.25">
      <c r="A3" s="23"/>
      <c r="B3" s="24"/>
      <c r="C3" s="25">
        <v>2023</v>
      </c>
      <c r="D3" s="25">
        <v>2024</v>
      </c>
      <c r="E3" s="25">
        <v>2025</v>
      </c>
      <c r="F3" s="25">
        <v>2026</v>
      </c>
      <c r="G3" s="25">
        <v>2027</v>
      </c>
      <c r="H3" s="25">
        <v>2028</v>
      </c>
      <c r="I3" s="25">
        <v>2029</v>
      </c>
      <c r="J3" s="25">
        <v>2030</v>
      </c>
      <c r="K3" s="25">
        <v>2031</v>
      </c>
      <c r="L3" s="25">
        <v>2032</v>
      </c>
      <c r="M3" s="25">
        <v>2033</v>
      </c>
      <c r="N3" s="25">
        <v>2034</v>
      </c>
      <c r="O3" s="25">
        <v>2035</v>
      </c>
      <c r="P3" s="25">
        <v>2036</v>
      </c>
      <c r="Q3" s="25">
        <v>2037</v>
      </c>
      <c r="R3" s="25">
        <v>2038</v>
      </c>
      <c r="S3" s="25">
        <v>2039</v>
      </c>
      <c r="T3" s="25">
        <v>2040</v>
      </c>
      <c r="U3" s="25">
        <v>2041</v>
      </c>
      <c r="V3" s="25">
        <v>2042</v>
      </c>
      <c r="W3" s="26">
        <v>2043</v>
      </c>
      <c r="X3" s="17"/>
    </row>
    <row r="4" spans="1:24" s="18" customFormat="1" ht="14.25">
      <c r="A4" s="28" t="s">
        <v>363</v>
      </c>
      <c r="B4" s="29"/>
      <c r="C4" s="30"/>
      <c r="D4" s="30"/>
      <c r="E4" s="30"/>
      <c r="F4" s="30"/>
      <c r="G4" s="30"/>
      <c r="H4" s="30"/>
      <c r="I4" s="30"/>
      <c r="J4" s="31"/>
      <c r="K4" s="32"/>
      <c r="L4" s="32"/>
      <c r="M4" s="32"/>
      <c r="N4" s="32"/>
      <c r="O4" s="32"/>
      <c r="P4" s="32"/>
      <c r="Q4" s="32"/>
      <c r="R4" s="32"/>
      <c r="S4" s="32"/>
      <c r="T4" s="32"/>
      <c r="U4" s="32"/>
      <c r="V4" s="32"/>
      <c r="W4" s="33"/>
      <c r="X4" s="17"/>
    </row>
    <row r="5" spans="1:24" s="18" customFormat="1" ht="14.25">
      <c r="A5" s="28" t="s">
        <v>13</v>
      </c>
      <c r="B5" s="35" t="s">
        <v>1</v>
      </c>
      <c r="C5" s="36">
        <v>2792.2086956521744</v>
      </c>
      <c r="D5" s="36">
        <v>10099.478260869566</v>
      </c>
      <c r="E5" s="36">
        <v>15149.217391304348</v>
      </c>
      <c r="F5" s="36">
        <v>29229.078260869566</v>
      </c>
      <c r="G5" s="36">
        <v>36536.34782608696</v>
      </c>
      <c r="H5" s="36">
        <v>36536.34782608696</v>
      </c>
      <c r="I5" s="36">
        <v>36536.34782608696</v>
      </c>
      <c r="J5" s="36">
        <v>36536.34782608696</v>
      </c>
      <c r="K5" s="36">
        <v>36536.34782608696</v>
      </c>
      <c r="L5" s="36">
        <v>36536.34782608696</v>
      </c>
      <c r="M5" s="36">
        <v>36536.34782608696</v>
      </c>
      <c r="N5" s="36">
        <v>36536.34782608696</v>
      </c>
      <c r="O5" s="36">
        <v>36536.34782608696</v>
      </c>
      <c r="P5" s="36">
        <v>36536.34782608696</v>
      </c>
      <c r="Q5" s="36">
        <v>36536.34782608696</v>
      </c>
      <c r="R5" s="36">
        <v>36536.34782608696</v>
      </c>
      <c r="S5" s="36">
        <v>36536.34782608696</v>
      </c>
      <c r="T5" s="36">
        <v>36536.34782608696</v>
      </c>
      <c r="U5" s="36">
        <v>36536.34782608696</v>
      </c>
      <c r="V5" s="36">
        <v>36536.34782608696</v>
      </c>
      <c r="W5" s="36">
        <v>36536.34782608696</v>
      </c>
      <c r="X5" s="17"/>
    </row>
    <row r="6" spans="1:24" s="18" customFormat="1" ht="14.25">
      <c r="A6" s="38" t="s">
        <v>14</v>
      </c>
      <c r="B6" s="35" t="s">
        <v>1</v>
      </c>
      <c r="C6" s="36">
        <v>626.89230769230778</v>
      </c>
      <c r="D6" s="36">
        <v>1967.0153846153848</v>
      </c>
      <c r="E6" s="36">
        <v>8299.7538461538461</v>
      </c>
      <c r="F6" s="36">
        <v>13919.26153846154</v>
      </c>
      <c r="G6" s="36">
        <v>17399.076923076926</v>
      </c>
      <c r="H6" s="36">
        <v>17399.076923076926</v>
      </c>
      <c r="I6" s="36">
        <v>17399.076923076926</v>
      </c>
      <c r="J6" s="36">
        <v>17399.076923076926</v>
      </c>
      <c r="K6" s="36">
        <v>17399.076923076926</v>
      </c>
      <c r="L6" s="36">
        <v>17399.076923076926</v>
      </c>
      <c r="M6" s="36">
        <v>17399.076923076926</v>
      </c>
      <c r="N6" s="36">
        <v>17399.076923076926</v>
      </c>
      <c r="O6" s="36">
        <v>17399.076923076926</v>
      </c>
      <c r="P6" s="36">
        <v>17399.076923076926</v>
      </c>
      <c r="Q6" s="36">
        <v>17399.076923076926</v>
      </c>
      <c r="R6" s="36">
        <v>17399.076923076926</v>
      </c>
      <c r="S6" s="36">
        <v>17399.076923076926</v>
      </c>
      <c r="T6" s="36">
        <v>17399.076923076926</v>
      </c>
      <c r="U6" s="36">
        <v>17399.076923076926</v>
      </c>
      <c r="V6" s="36">
        <v>17399.076923076926</v>
      </c>
      <c r="W6" s="36">
        <v>17399.076923076926</v>
      </c>
      <c r="X6" s="17"/>
    </row>
    <row r="7" spans="1:24" s="18" customFormat="1" ht="14.25">
      <c r="A7" s="38" t="s">
        <v>15</v>
      </c>
      <c r="B7" s="35" t="s">
        <v>1</v>
      </c>
      <c r="C7" s="36">
        <v>993.74545454545455</v>
      </c>
      <c r="D7" s="36">
        <v>4684.8</v>
      </c>
      <c r="E7" s="36">
        <v>9050.1818181818198</v>
      </c>
      <c r="F7" s="36">
        <v>20158.836363636365</v>
      </c>
      <c r="G7" s="36">
        <v>25198.545454545456</v>
      </c>
      <c r="H7" s="36">
        <v>25198.545454545456</v>
      </c>
      <c r="I7" s="36">
        <v>25198.545454545456</v>
      </c>
      <c r="J7" s="36">
        <v>25198.545454545456</v>
      </c>
      <c r="K7" s="36">
        <v>25198.545454545456</v>
      </c>
      <c r="L7" s="36">
        <v>25198.545454545456</v>
      </c>
      <c r="M7" s="36">
        <v>25198.545454545456</v>
      </c>
      <c r="N7" s="36">
        <v>25198.545454545456</v>
      </c>
      <c r="O7" s="36">
        <v>25198.545454545456</v>
      </c>
      <c r="P7" s="36">
        <v>25198.545454545456</v>
      </c>
      <c r="Q7" s="36">
        <v>25198.545454545456</v>
      </c>
      <c r="R7" s="36">
        <v>25198.545454545456</v>
      </c>
      <c r="S7" s="36">
        <v>25198.545454545456</v>
      </c>
      <c r="T7" s="36">
        <v>25198.545454545456</v>
      </c>
      <c r="U7" s="36">
        <v>25198.545454545456</v>
      </c>
      <c r="V7" s="36">
        <v>25198.545454545456</v>
      </c>
      <c r="W7" s="36">
        <v>25198.545454545456</v>
      </c>
      <c r="X7" s="17"/>
    </row>
    <row r="8" spans="1:24" s="18" customFormat="1" ht="14.25">
      <c r="A8" s="538" t="s">
        <v>16</v>
      </c>
      <c r="B8" s="539" t="s">
        <v>1</v>
      </c>
      <c r="C8" s="36">
        <v>720.73846153846159</v>
      </c>
      <c r="D8" s="36">
        <v>7147.3230769230777</v>
      </c>
      <c r="E8" s="36">
        <v>15000.369230769233</v>
      </c>
      <c r="F8" s="36">
        <v>25706.338461538464</v>
      </c>
      <c r="G8" s="36">
        <v>32132.923076923078</v>
      </c>
      <c r="H8" s="36">
        <v>32132.923076923078</v>
      </c>
      <c r="I8" s="36">
        <v>32132.923076923078</v>
      </c>
      <c r="J8" s="36">
        <v>32132.923076923078</v>
      </c>
      <c r="K8" s="36">
        <v>32132.923076923078</v>
      </c>
      <c r="L8" s="36">
        <v>32132.923076923078</v>
      </c>
      <c r="M8" s="36">
        <v>32132.923076923078</v>
      </c>
      <c r="N8" s="36">
        <v>32132.923076923078</v>
      </c>
      <c r="O8" s="36">
        <v>32132.923076923078</v>
      </c>
      <c r="P8" s="36">
        <v>32132.923076923078</v>
      </c>
      <c r="Q8" s="36">
        <v>32132.923076923078</v>
      </c>
      <c r="R8" s="36">
        <v>32132.923076923078</v>
      </c>
      <c r="S8" s="36">
        <v>32132.923076923078</v>
      </c>
      <c r="T8" s="36">
        <v>32132.923076923078</v>
      </c>
      <c r="U8" s="36">
        <v>32132.923076923078</v>
      </c>
      <c r="V8" s="36">
        <v>32132.923076923078</v>
      </c>
      <c r="W8" s="36">
        <v>32132.923076923078</v>
      </c>
      <c r="X8" s="17"/>
    </row>
    <row r="9" spans="1:24" s="18" customFormat="1" ht="14.25">
      <c r="A9" s="538" t="s">
        <v>17</v>
      </c>
      <c r="B9" s="539" t="s">
        <v>1</v>
      </c>
      <c r="C9" s="36">
        <v>7633.4461538461546</v>
      </c>
      <c r="D9" s="36">
        <v>18025.969230769228</v>
      </c>
      <c r="E9" s="36">
        <v>31177.569230769222</v>
      </c>
      <c r="F9" s="36">
        <v>52606.400000000009</v>
      </c>
      <c r="G9" s="36">
        <v>65758.000000000015</v>
      </c>
      <c r="H9" s="36">
        <v>65758.000000000015</v>
      </c>
      <c r="I9" s="36">
        <v>65758.000000000015</v>
      </c>
      <c r="J9" s="36">
        <v>65758.000000000015</v>
      </c>
      <c r="K9" s="36">
        <v>65758.000000000015</v>
      </c>
      <c r="L9" s="36">
        <v>65758.000000000015</v>
      </c>
      <c r="M9" s="36">
        <v>65758.000000000015</v>
      </c>
      <c r="N9" s="36">
        <v>65758.000000000015</v>
      </c>
      <c r="O9" s="36">
        <v>65758.000000000015</v>
      </c>
      <c r="P9" s="36">
        <v>65758.000000000015</v>
      </c>
      <c r="Q9" s="36">
        <v>65758.000000000015</v>
      </c>
      <c r="R9" s="36">
        <v>65758.000000000015</v>
      </c>
      <c r="S9" s="36">
        <v>65758.000000000015</v>
      </c>
      <c r="T9" s="36">
        <v>65758.000000000015</v>
      </c>
      <c r="U9" s="36">
        <v>65758.000000000015</v>
      </c>
      <c r="V9" s="36">
        <v>65758.000000000015</v>
      </c>
      <c r="W9" s="36">
        <v>65758.000000000015</v>
      </c>
      <c r="X9" s="17"/>
    </row>
    <row r="10" spans="1:24" s="18" customFormat="1" ht="14.25">
      <c r="A10" s="161" t="s">
        <v>50</v>
      </c>
      <c r="B10" s="54" t="s">
        <v>1</v>
      </c>
      <c r="C10" s="36">
        <v>5093.8775510204086</v>
      </c>
      <c r="D10" s="36">
        <v>10187.755102040817</v>
      </c>
      <c r="E10" s="36">
        <v>15281.632653061226</v>
      </c>
      <c r="F10" s="36">
        <v>20375.510204081635</v>
      </c>
      <c r="G10" s="36">
        <v>25469.387755102041</v>
      </c>
      <c r="H10" s="36">
        <v>25469.387755102041</v>
      </c>
      <c r="I10" s="36">
        <v>25469.387755102041</v>
      </c>
      <c r="J10" s="36">
        <v>25469.387755102041</v>
      </c>
      <c r="K10" s="36">
        <v>25469.387755102041</v>
      </c>
      <c r="L10" s="36">
        <v>25469.387755102041</v>
      </c>
      <c r="M10" s="36">
        <v>25469.387755102041</v>
      </c>
      <c r="N10" s="36">
        <v>25469.387755102041</v>
      </c>
      <c r="O10" s="36">
        <v>25469.387755102041</v>
      </c>
      <c r="P10" s="36">
        <v>25469.387755102041</v>
      </c>
      <c r="Q10" s="36">
        <v>25469.387755102041</v>
      </c>
      <c r="R10" s="36">
        <v>25469.387755102041</v>
      </c>
      <c r="S10" s="36">
        <v>25469.387755102041</v>
      </c>
      <c r="T10" s="36">
        <v>25469.387755102041</v>
      </c>
      <c r="U10" s="36">
        <v>25469.387755102041</v>
      </c>
      <c r="V10" s="36">
        <v>25469.387755102041</v>
      </c>
      <c r="W10" s="36">
        <v>25469.387755102041</v>
      </c>
      <c r="X10" s="17"/>
    </row>
    <row r="11" spans="1:24" s="48" customFormat="1" ht="14.25">
      <c r="A11" s="707" t="s">
        <v>19</v>
      </c>
      <c r="B11" s="144" t="s">
        <v>1</v>
      </c>
      <c r="C11" s="45">
        <v>17860.908624294963</v>
      </c>
      <c r="D11" s="45">
        <v>52112.341055218072</v>
      </c>
      <c r="E11" s="45">
        <v>93958.7241702397</v>
      </c>
      <c r="F11" s="45">
        <v>161995.42482858759</v>
      </c>
      <c r="G11" s="45">
        <v>202494.28103573449</v>
      </c>
      <c r="H11" s="45">
        <v>202494.28103573449</v>
      </c>
      <c r="I11" s="45">
        <v>202494.28103573449</v>
      </c>
      <c r="J11" s="45">
        <v>202494.28103573449</v>
      </c>
      <c r="K11" s="45">
        <v>202494.28103573449</v>
      </c>
      <c r="L11" s="45">
        <v>202494.28103573449</v>
      </c>
      <c r="M11" s="45">
        <v>202494.28103573449</v>
      </c>
      <c r="N11" s="45">
        <v>202494.28103573449</v>
      </c>
      <c r="O11" s="45">
        <v>202494.28103573449</v>
      </c>
      <c r="P11" s="45">
        <v>202494.28103573449</v>
      </c>
      <c r="Q11" s="45">
        <v>202494.28103573449</v>
      </c>
      <c r="R11" s="45">
        <v>202494.28103573449</v>
      </c>
      <c r="S11" s="45">
        <v>202494.28103573449</v>
      </c>
      <c r="T11" s="45">
        <v>202494.28103573449</v>
      </c>
      <c r="U11" s="45">
        <v>202494.28103573449</v>
      </c>
      <c r="V11" s="45">
        <v>202494.28103573449</v>
      </c>
      <c r="W11" s="45">
        <v>202494.28103573449</v>
      </c>
      <c r="X11" s="47"/>
    </row>
    <row r="12" spans="1:24" s="18" customFormat="1" ht="14.25">
      <c r="A12" s="540" t="s">
        <v>3</v>
      </c>
      <c r="B12" s="144"/>
      <c r="C12" s="36"/>
      <c r="D12" s="36"/>
      <c r="E12" s="36"/>
      <c r="F12" s="36"/>
      <c r="G12" s="36"/>
      <c r="H12" s="36"/>
      <c r="I12" s="36"/>
      <c r="J12" s="36"/>
      <c r="K12" s="36"/>
      <c r="L12" s="36"/>
      <c r="M12" s="36"/>
      <c r="N12" s="36"/>
      <c r="O12" s="36"/>
      <c r="P12" s="36"/>
      <c r="Q12" s="36"/>
      <c r="R12" s="36"/>
      <c r="S12" s="36"/>
      <c r="T12" s="36"/>
      <c r="U12" s="36"/>
      <c r="V12" s="36"/>
      <c r="W12" s="36"/>
      <c r="X12" s="17"/>
    </row>
    <row r="13" spans="1:24" s="18" customFormat="1" ht="14.25">
      <c r="A13" s="541" t="s">
        <v>20</v>
      </c>
      <c r="B13" s="35" t="s">
        <v>1</v>
      </c>
      <c r="C13" s="36">
        <v>16000</v>
      </c>
      <c r="D13" s="36">
        <v>16000</v>
      </c>
      <c r="E13" s="36">
        <v>16000</v>
      </c>
      <c r="F13" s="36">
        <v>16000</v>
      </c>
      <c r="G13" s="36">
        <v>16000</v>
      </c>
      <c r="H13" s="36">
        <v>16000</v>
      </c>
      <c r="I13" s="36"/>
      <c r="J13" s="36"/>
      <c r="K13" s="36"/>
      <c r="L13" s="36"/>
      <c r="M13" s="36"/>
      <c r="N13" s="36"/>
      <c r="O13" s="36"/>
      <c r="P13" s="36"/>
      <c r="Q13" s="36"/>
      <c r="R13" s="36"/>
      <c r="S13" s="36"/>
      <c r="T13" s="36"/>
      <c r="U13" s="36"/>
      <c r="V13" s="36"/>
      <c r="W13" s="36"/>
      <c r="X13" s="17"/>
    </row>
    <row r="14" spans="1:24" s="18" customFormat="1" ht="14.25">
      <c r="A14" s="541" t="s">
        <v>13</v>
      </c>
      <c r="B14" s="35" t="s">
        <v>1</v>
      </c>
      <c r="C14" s="36">
        <v>5708.7340770843521</v>
      </c>
      <c r="D14" s="36">
        <v>11417.468154168704</v>
      </c>
      <c r="E14" s="36">
        <v>17126.202231253053</v>
      </c>
      <c r="F14" s="36">
        <v>22834.936308337408</v>
      </c>
      <c r="G14" s="36">
        <v>28543.670385421763</v>
      </c>
      <c r="H14" s="36">
        <v>28543.670385421763</v>
      </c>
      <c r="I14" s="36">
        <v>28543.670385421763</v>
      </c>
      <c r="J14" s="36">
        <v>28543.670385421763</v>
      </c>
      <c r="K14" s="36">
        <v>28543.670385421763</v>
      </c>
      <c r="L14" s="36">
        <v>28543.670385421763</v>
      </c>
      <c r="M14" s="36">
        <v>28543.670385421763</v>
      </c>
      <c r="N14" s="36">
        <v>28543.670385421763</v>
      </c>
      <c r="O14" s="36">
        <v>28543.670385421763</v>
      </c>
      <c r="P14" s="36">
        <v>28543.670385421763</v>
      </c>
      <c r="Q14" s="36">
        <v>28543.670385421763</v>
      </c>
      <c r="R14" s="36">
        <v>28543.670385421763</v>
      </c>
      <c r="S14" s="36">
        <v>28543.670385421763</v>
      </c>
      <c r="T14" s="36">
        <v>28543.670385421763</v>
      </c>
      <c r="U14" s="36">
        <v>28543.670385421763</v>
      </c>
      <c r="V14" s="36">
        <v>28543.670385421763</v>
      </c>
      <c r="W14" s="36">
        <v>28543.670385421763</v>
      </c>
      <c r="X14" s="17"/>
    </row>
    <row r="15" spans="1:24" s="48" customFormat="1" ht="14.25">
      <c r="A15" s="38" t="s">
        <v>14</v>
      </c>
      <c r="B15" s="35" t="s">
        <v>1</v>
      </c>
      <c r="C15" s="36">
        <v>2603.2000144468093</v>
      </c>
      <c r="D15" s="36">
        <v>5206.4000288936186</v>
      </c>
      <c r="E15" s="36">
        <v>7809.6000433404279</v>
      </c>
      <c r="F15" s="36">
        <v>10412.800057787237</v>
      </c>
      <c r="G15" s="36">
        <v>13016.000072234046</v>
      </c>
      <c r="H15" s="36">
        <v>13016.000072234046</v>
      </c>
      <c r="I15" s="36">
        <v>13016.000072234046</v>
      </c>
      <c r="J15" s="36">
        <v>13016.000072234046</v>
      </c>
      <c r="K15" s="36">
        <v>13016.000072234046</v>
      </c>
      <c r="L15" s="36">
        <v>13016.000072234046</v>
      </c>
      <c r="M15" s="36">
        <v>13016.000072234046</v>
      </c>
      <c r="N15" s="36">
        <v>13016.000072234046</v>
      </c>
      <c r="O15" s="36">
        <v>13016.000072234046</v>
      </c>
      <c r="P15" s="36">
        <v>13016.000072234046</v>
      </c>
      <c r="Q15" s="36">
        <v>13016.000072234046</v>
      </c>
      <c r="R15" s="36">
        <v>13016.000072234046</v>
      </c>
      <c r="S15" s="36">
        <v>13016.000072234046</v>
      </c>
      <c r="T15" s="36">
        <v>13016.000072234046</v>
      </c>
      <c r="U15" s="36">
        <v>13016.000072234046</v>
      </c>
      <c r="V15" s="36">
        <v>13016.000072234046</v>
      </c>
      <c r="W15" s="36">
        <v>13016.000072234046</v>
      </c>
      <c r="X15" s="47"/>
    </row>
    <row r="16" spans="1:24" s="48" customFormat="1" ht="14.25">
      <c r="A16" s="38" t="s">
        <v>15</v>
      </c>
      <c r="B16" s="35" t="s">
        <v>1</v>
      </c>
      <c r="C16" s="36">
        <v>3411.2915101083909</v>
      </c>
      <c r="D16" s="36">
        <v>6822.5830202167817</v>
      </c>
      <c r="E16" s="36">
        <v>10233.874530325173</v>
      </c>
      <c r="F16" s="36">
        <v>13645.166040433563</v>
      </c>
      <c r="G16" s="36">
        <v>17056.457550541956</v>
      </c>
      <c r="H16" s="36">
        <v>17056.457550541956</v>
      </c>
      <c r="I16" s="36">
        <v>17056.457550541956</v>
      </c>
      <c r="J16" s="36">
        <v>17056.457550541956</v>
      </c>
      <c r="K16" s="36">
        <v>17056.457550541956</v>
      </c>
      <c r="L16" s="36">
        <v>17056.457550541956</v>
      </c>
      <c r="M16" s="36">
        <v>17056.457550541956</v>
      </c>
      <c r="N16" s="36">
        <v>17056.457550541956</v>
      </c>
      <c r="O16" s="36">
        <v>17056.457550541956</v>
      </c>
      <c r="P16" s="36">
        <v>17056.457550541956</v>
      </c>
      <c r="Q16" s="36">
        <v>17056.457550541956</v>
      </c>
      <c r="R16" s="36">
        <v>17056.457550541956</v>
      </c>
      <c r="S16" s="36">
        <v>17056.457550541956</v>
      </c>
      <c r="T16" s="36">
        <v>17056.457550541956</v>
      </c>
      <c r="U16" s="36">
        <v>17056.457550541956</v>
      </c>
      <c r="V16" s="36">
        <v>17056.457550541956</v>
      </c>
      <c r="W16" s="36">
        <v>17056.457550541956</v>
      </c>
      <c r="X16" s="47"/>
    </row>
    <row r="17" spans="1:24" s="48" customFormat="1" ht="14.25">
      <c r="A17" s="538" t="s">
        <v>16</v>
      </c>
      <c r="B17" s="539" t="s">
        <v>1</v>
      </c>
      <c r="C17" s="36">
        <v>5025.4433970196642</v>
      </c>
      <c r="D17" s="36">
        <v>10050.886794039328</v>
      </c>
      <c r="E17" s="36">
        <v>15076.330191058993</v>
      </c>
      <c r="F17" s="36">
        <v>20101.773588078657</v>
      </c>
      <c r="G17" s="36">
        <v>25127.216985098323</v>
      </c>
      <c r="H17" s="36">
        <v>25127.216985098323</v>
      </c>
      <c r="I17" s="36">
        <v>25127.216985098323</v>
      </c>
      <c r="J17" s="36">
        <v>25127.216985098323</v>
      </c>
      <c r="K17" s="36">
        <v>25127.216985098323</v>
      </c>
      <c r="L17" s="36">
        <v>25127.216985098323</v>
      </c>
      <c r="M17" s="36">
        <v>25127.216985098323</v>
      </c>
      <c r="N17" s="36">
        <v>25127.216985098323</v>
      </c>
      <c r="O17" s="36">
        <v>25127.216985098323</v>
      </c>
      <c r="P17" s="36">
        <v>25127.216985098323</v>
      </c>
      <c r="Q17" s="36">
        <v>25127.216985098323</v>
      </c>
      <c r="R17" s="36">
        <v>25127.216985098323</v>
      </c>
      <c r="S17" s="36">
        <v>25127.216985098323</v>
      </c>
      <c r="T17" s="36">
        <v>25127.216985098323</v>
      </c>
      <c r="U17" s="36">
        <v>25127.216985098323</v>
      </c>
      <c r="V17" s="36">
        <v>25127.216985098323</v>
      </c>
      <c r="W17" s="36">
        <v>25127.216985098323</v>
      </c>
      <c r="X17" s="47"/>
    </row>
    <row r="18" spans="1:24" s="18" customFormat="1" thickBot="1">
      <c r="A18" s="538" t="s">
        <v>17</v>
      </c>
      <c r="B18" s="539" t="s">
        <v>1</v>
      </c>
      <c r="C18" s="36">
        <v>11896.479326033847</v>
      </c>
      <c r="D18" s="36">
        <v>23792.958652067693</v>
      </c>
      <c r="E18" s="36">
        <v>35689.437978101538</v>
      </c>
      <c r="F18" s="36">
        <v>47585.917304135386</v>
      </c>
      <c r="G18" s="36">
        <v>59482.396630169227</v>
      </c>
      <c r="H18" s="36">
        <v>59482.396630169227</v>
      </c>
      <c r="I18" s="36">
        <v>59482.396630169227</v>
      </c>
      <c r="J18" s="36">
        <v>59482.396630169227</v>
      </c>
      <c r="K18" s="36">
        <v>59482.396630169227</v>
      </c>
      <c r="L18" s="36">
        <v>59482.396630169227</v>
      </c>
      <c r="M18" s="36">
        <v>59482.396630169227</v>
      </c>
      <c r="N18" s="36">
        <v>59482.396630169227</v>
      </c>
      <c r="O18" s="36">
        <v>59482.396630169227</v>
      </c>
      <c r="P18" s="36">
        <v>59482.396630169227</v>
      </c>
      <c r="Q18" s="36">
        <v>59482.396630169227</v>
      </c>
      <c r="R18" s="36">
        <v>59482.396630169227</v>
      </c>
      <c r="S18" s="36">
        <v>59482.396630169227</v>
      </c>
      <c r="T18" s="36">
        <v>59482.396630169227</v>
      </c>
      <c r="U18" s="36">
        <v>59482.396630169227</v>
      </c>
      <c r="V18" s="36">
        <v>59482.396630169227</v>
      </c>
      <c r="W18" s="36">
        <v>59482.396630169227</v>
      </c>
      <c r="X18" s="17"/>
    </row>
    <row r="19" spans="1:24" s="48" customFormat="1" thickBot="1">
      <c r="A19" s="52" t="s">
        <v>21</v>
      </c>
      <c r="B19" s="44" t="s">
        <v>1</v>
      </c>
      <c r="C19" s="45">
        <v>44645.148324693066</v>
      </c>
      <c r="D19" s="45">
        <v>73290.296649386131</v>
      </c>
      <c r="E19" s="45">
        <v>101935.44497407918</v>
      </c>
      <c r="F19" s="45">
        <v>130580.59329877226</v>
      </c>
      <c r="G19" s="45">
        <v>159225.74162346532</v>
      </c>
      <c r="H19" s="45">
        <v>159225.74162346532</v>
      </c>
      <c r="I19" s="45">
        <v>143225.74162346532</v>
      </c>
      <c r="J19" s="45">
        <v>143225.74162346532</v>
      </c>
      <c r="K19" s="45">
        <v>143225.74162346532</v>
      </c>
      <c r="L19" s="45">
        <v>143225.74162346532</v>
      </c>
      <c r="M19" s="45">
        <v>143225.74162346532</v>
      </c>
      <c r="N19" s="45">
        <v>143225.74162346532</v>
      </c>
      <c r="O19" s="45">
        <v>143225.74162346532</v>
      </c>
      <c r="P19" s="45">
        <v>143225.74162346532</v>
      </c>
      <c r="Q19" s="45">
        <v>143225.74162346532</v>
      </c>
      <c r="R19" s="45">
        <v>143225.74162346532</v>
      </c>
      <c r="S19" s="45">
        <v>143225.74162346532</v>
      </c>
      <c r="T19" s="45">
        <v>143225.74162346532</v>
      </c>
      <c r="U19" s="45">
        <v>143225.74162346532</v>
      </c>
      <c r="V19" s="45">
        <v>143225.74162346532</v>
      </c>
      <c r="W19" s="45">
        <v>143225.74162346532</v>
      </c>
      <c r="X19" s="47"/>
    </row>
    <row r="20" spans="1:24" s="18" customFormat="1" thickBot="1">
      <c r="A20" s="172"/>
      <c r="B20" s="173"/>
      <c r="C20" s="714"/>
      <c r="D20" s="714"/>
      <c r="E20" s="714"/>
      <c r="F20" s="714"/>
      <c r="G20" s="714"/>
      <c r="H20" s="714"/>
      <c r="I20" s="713"/>
      <c r="J20" s="713"/>
      <c r="K20" s="713"/>
      <c r="L20" s="713"/>
      <c r="M20" s="713"/>
      <c r="N20" s="713"/>
      <c r="O20" s="713"/>
      <c r="P20" s="713"/>
      <c r="Q20" s="713"/>
      <c r="R20" s="713"/>
      <c r="S20" s="713"/>
      <c r="T20" s="713"/>
      <c r="U20" s="713"/>
      <c r="V20" s="713"/>
      <c r="W20" s="712"/>
      <c r="X20" s="17"/>
    </row>
    <row r="21" spans="1:24" s="18" customFormat="1" thickBot="1">
      <c r="A21" s="176" t="s">
        <v>0</v>
      </c>
      <c r="B21" s="44" t="s">
        <v>1</v>
      </c>
      <c r="C21" s="711">
        <v>-26784.239700398102</v>
      </c>
      <c r="D21" s="711">
        <v>-21177.955594168059</v>
      </c>
      <c r="E21" s="711">
        <v>-7976.7208038394747</v>
      </c>
      <c r="F21" s="711">
        <v>31414.831529815332</v>
      </c>
      <c r="G21" s="711">
        <v>43268.539412269165</v>
      </c>
      <c r="H21" s="711">
        <v>43268.539412269165</v>
      </c>
      <c r="I21" s="711">
        <v>59268.539412269165</v>
      </c>
      <c r="J21" s="711">
        <v>59268.539412269165</v>
      </c>
      <c r="K21" s="711">
        <v>59268.539412269165</v>
      </c>
      <c r="L21" s="711">
        <v>59268.539412269165</v>
      </c>
      <c r="M21" s="711">
        <v>59268.539412269165</v>
      </c>
      <c r="N21" s="711">
        <v>59268.539412269165</v>
      </c>
      <c r="O21" s="711">
        <v>59268.539412269165</v>
      </c>
      <c r="P21" s="711">
        <v>59268.539412269165</v>
      </c>
      <c r="Q21" s="711">
        <v>59268.539412269165</v>
      </c>
      <c r="R21" s="711">
        <v>59268.539412269165</v>
      </c>
      <c r="S21" s="711">
        <v>59268.539412269165</v>
      </c>
      <c r="T21" s="711">
        <v>59268.539412269165</v>
      </c>
      <c r="U21" s="711">
        <v>59268.539412269165</v>
      </c>
      <c r="V21" s="711">
        <v>59268.539412269165</v>
      </c>
      <c r="W21" s="710">
        <v>59268.539412269165</v>
      </c>
      <c r="X21" s="17"/>
    </row>
    <row r="22" spans="1:24" s="18" customFormat="1" thickBot="1">
      <c r="A22" s="706"/>
      <c r="B22" s="22"/>
      <c r="C22" s="65"/>
      <c r="D22" s="65"/>
      <c r="E22" s="65"/>
      <c r="F22" s="65"/>
      <c r="G22" s="65"/>
      <c r="H22" s="65"/>
      <c r="I22" s="66"/>
      <c r="J22" s="66"/>
      <c r="K22" s="67"/>
      <c r="L22" s="67"/>
      <c r="M22" s="67"/>
      <c r="N22" s="67"/>
      <c r="O22" s="67"/>
      <c r="P22" s="67"/>
      <c r="Q22" s="67"/>
      <c r="R22" s="67"/>
      <c r="S22" s="67"/>
      <c r="T22" s="67"/>
      <c r="U22" s="67"/>
      <c r="V22" s="67"/>
      <c r="W22" s="67"/>
      <c r="X22" s="17"/>
    </row>
    <row r="23" spans="1:24" s="18" customFormat="1" ht="14.25">
      <c r="A23" s="134" t="s">
        <v>22</v>
      </c>
      <c r="B23" s="135"/>
      <c r="C23" s="70"/>
      <c r="D23" s="71"/>
      <c r="E23" s="71"/>
      <c r="F23" s="71"/>
      <c r="G23" s="71"/>
      <c r="H23" s="71"/>
      <c r="I23" s="72"/>
      <c r="J23" s="72"/>
      <c r="K23" s="66"/>
      <c r="L23" s="66"/>
      <c r="M23" s="66"/>
      <c r="N23" s="66"/>
      <c r="O23" s="66"/>
      <c r="P23" s="66"/>
      <c r="Q23" s="66"/>
      <c r="R23" s="66"/>
      <c r="S23" s="66"/>
      <c r="T23" s="66"/>
      <c r="U23" s="66"/>
      <c r="V23" s="66"/>
      <c r="W23" s="66"/>
      <c r="X23" s="17"/>
    </row>
    <row r="24" spans="1:24" s="18" customFormat="1" ht="14.25">
      <c r="A24" s="707" t="s">
        <v>10</v>
      </c>
      <c r="B24" s="75">
        <v>0.06</v>
      </c>
      <c r="C24" s="70"/>
      <c r="D24" s="71"/>
      <c r="E24" s="71"/>
      <c r="F24" s="71"/>
      <c r="G24" s="71"/>
      <c r="H24" s="71"/>
      <c r="I24" s="72"/>
      <c r="J24" s="72"/>
      <c r="K24" s="72"/>
      <c r="L24" s="72"/>
      <c r="M24" s="72"/>
      <c r="N24" s="72"/>
      <c r="O24" s="72"/>
      <c r="P24" s="72"/>
      <c r="Q24" s="72"/>
      <c r="R24" s="72"/>
      <c r="S24" s="72"/>
      <c r="T24" s="72"/>
      <c r="U24" s="72"/>
      <c r="V24" s="72"/>
      <c r="W24" s="72"/>
      <c r="X24" s="17"/>
    </row>
    <row r="25" spans="1:24" s="18" customFormat="1" thickBot="1">
      <c r="A25" s="136" t="s">
        <v>23</v>
      </c>
      <c r="B25" s="137"/>
      <c r="C25" s="77"/>
      <c r="D25" s="72"/>
      <c r="E25" s="72"/>
      <c r="F25" s="72"/>
      <c r="G25" s="72"/>
      <c r="H25" s="72"/>
      <c r="I25" s="72"/>
      <c r="J25" s="72"/>
      <c r="K25" s="72"/>
      <c r="L25" s="72"/>
      <c r="M25" s="72"/>
      <c r="N25" s="72"/>
      <c r="O25" s="72"/>
      <c r="P25" s="72"/>
      <c r="Q25" s="72"/>
      <c r="R25" s="72"/>
      <c r="S25" s="72"/>
      <c r="T25" s="72"/>
      <c r="U25" s="72"/>
      <c r="V25" s="72"/>
      <c r="W25" s="72"/>
      <c r="X25" s="17"/>
    </row>
    <row r="26" spans="1:24" s="18" customFormat="1" thickBot="1">
      <c r="A26" s="78" t="s">
        <v>7</v>
      </c>
      <c r="B26" s="147">
        <v>442702.01552875002</v>
      </c>
      <c r="C26" s="80" t="s">
        <v>1</v>
      </c>
      <c r="D26" s="80"/>
      <c r="E26" s="80"/>
      <c r="F26" s="80"/>
      <c r="G26" s="80"/>
      <c r="H26" s="80"/>
      <c r="I26" s="80"/>
      <c r="J26" s="80"/>
      <c r="K26" s="72"/>
      <c r="L26" s="72"/>
      <c r="M26" s="72"/>
      <c r="N26" s="72"/>
      <c r="O26" s="72"/>
      <c r="P26" s="72"/>
      <c r="Q26" s="72"/>
      <c r="R26" s="72"/>
      <c r="S26" s="72"/>
      <c r="T26" s="72"/>
      <c r="U26" s="72"/>
      <c r="V26" s="72"/>
      <c r="W26" s="72"/>
      <c r="X26" s="17"/>
    </row>
    <row r="27" spans="1:24" s="18" customFormat="1" thickBot="1">
      <c r="A27" s="78" t="s">
        <v>8</v>
      </c>
      <c r="B27" s="81">
        <v>0.4628886232837941</v>
      </c>
      <c r="C27" s="82" t="s">
        <v>24</v>
      </c>
      <c r="D27" s="82"/>
      <c r="E27" s="82"/>
      <c r="F27" s="82"/>
      <c r="G27" s="82"/>
      <c r="H27" s="82"/>
      <c r="I27" s="82"/>
      <c r="J27" s="82"/>
      <c r="K27" s="72"/>
      <c r="L27" s="72"/>
      <c r="M27" s="72"/>
      <c r="N27" s="72"/>
      <c r="O27" s="72"/>
      <c r="P27" s="72"/>
      <c r="Q27" s="72"/>
      <c r="R27" s="72"/>
      <c r="S27" s="72"/>
      <c r="T27" s="72"/>
      <c r="U27" s="72"/>
      <c r="V27" s="72"/>
      <c r="W27" s="72"/>
      <c r="X27" s="17"/>
    </row>
    <row r="28" spans="1:24" s="18" customFormat="1" thickBot="1">
      <c r="A28" s="78" t="s">
        <v>9</v>
      </c>
      <c r="B28" s="81">
        <v>0.18760443469425536</v>
      </c>
      <c r="C28" s="80" t="s">
        <v>24</v>
      </c>
      <c r="D28" s="80"/>
      <c r="E28" s="80"/>
      <c r="F28" s="80"/>
      <c r="G28" s="80"/>
      <c r="H28" s="80"/>
      <c r="I28" s="80"/>
      <c r="J28" s="80"/>
      <c r="K28" s="72"/>
      <c r="L28" s="72"/>
      <c r="M28" s="72"/>
      <c r="N28" s="72"/>
      <c r="O28" s="72"/>
      <c r="P28" s="72"/>
      <c r="Q28" s="72"/>
      <c r="R28" s="72"/>
      <c r="S28" s="72"/>
      <c r="T28" s="72"/>
      <c r="U28" s="72"/>
      <c r="V28" s="72"/>
      <c r="W28" s="72"/>
      <c r="X28" s="17"/>
    </row>
    <row r="29" spans="1:24" s="18" customFormat="1" thickBot="1">
      <c r="A29" s="177" t="s">
        <v>25</v>
      </c>
      <c r="B29" s="709">
        <v>1.3375731260700867</v>
      </c>
      <c r="C29" s="17"/>
      <c r="X29" s="17"/>
    </row>
    <row r="30" spans="1:24" s="18" customFormat="1" ht="14.25">
      <c r="A30" s="91"/>
      <c r="B30" s="708"/>
      <c r="C30" s="17"/>
      <c r="X30" s="17"/>
    </row>
    <row r="31" spans="1:24" s="18" customFormat="1" ht="14.25">
      <c r="A31" s="91"/>
      <c r="B31" s="708"/>
      <c r="C31" s="17"/>
      <c r="X31" s="17"/>
    </row>
    <row r="32" spans="1:24">
      <c r="A32" s="179"/>
      <c r="B32" s="179"/>
    </row>
    <row r="34" spans="1:24" s="102" customFormat="1" ht="12.75" customHeight="1" thickBot="1">
      <c r="B34" s="103" t="s">
        <v>26</v>
      </c>
      <c r="C34" s="104"/>
      <c r="D34" s="104"/>
      <c r="E34" s="104"/>
      <c r="F34" s="104"/>
      <c r="G34" s="104"/>
      <c r="H34" s="104"/>
      <c r="I34" s="104"/>
      <c r="J34" s="104"/>
      <c r="K34" s="104"/>
      <c r="L34" s="104"/>
      <c r="M34" s="104"/>
      <c r="N34" s="104"/>
      <c r="O34" s="104"/>
      <c r="P34" s="104"/>
      <c r="Q34" s="104"/>
      <c r="R34" s="104"/>
      <c r="S34" s="104"/>
      <c r="T34" s="104"/>
      <c r="U34" s="104"/>
      <c r="V34" s="105"/>
      <c r="W34" s="106"/>
      <c r="X34" s="107"/>
    </row>
    <row r="35" spans="1:24" s="102" customFormat="1" ht="12.75">
      <c r="B35" s="108" t="s">
        <v>27</v>
      </c>
      <c r="C35" s="109">
        <v>0</v>
      </c>
      <c r="D35" s="110">
        <v>1</v>
      </c>
      <c r="E35" s="110">
        <v>2</v>
      </c>
      <c r="F35" s="110">
        <v>3</v>
      </c>
      <c r="G35" s="110">
        <v>4</v>
      </c>
      <c r="H35" s="110">
        <v>5</v>
      </c>
      <c r="I35" s="110">
        <v>6</v>
      </c>
      <c r="J35" s="110">
        <v>7</v>
      </c>
      <c r="K35" s="110">
        <v>8</v>
      </c>
      <c r="L35" s="110">
        <v>9</v>
      </c>
      <c r="M35" s="110">
        <v>10</v>
      </c>
      <c r="N35" s="110">
        <v>11</v>
      </c>
      <c r="O35" s="110">
        <v>12</v>
      </c>
      <c r="P35" s="110">
        <v>13</v>
      </c>
      <c r="Q35" s="110">
        <v>14</v>
      </c>
      <c r="R35" s="110">
        <v>15</v>
      </c>
      <c r="S35" s="110">
        <v>16</v>
      </c>
      <c r="T35" s="110">
        <v>17</v>
      </c>
      <c r="U35" s="110">
        <v>18</v>
      </c>
      <c r="V35" s="110">
        <v>19</v>
      </c>
      <c r="W35" s="111">
        <v>20</v>
      </c>
      <c r="X35" s="107"/>
    </row>
    <row r="36" spans="1:24" s="102" customFormat="1" ht="12.75">
      <c r="B36" s="108" t="s">
        <v>28</v>
      </c>
      <c r="C36" s="112">
        <v>-96000</v>
      </c>
      <c r="D36" s="113"/>
      <c r="E36" s="113"/>
      <c r="F36" s="113"/>
      <c r="G36" s="113"/>
      <c r="H36" s="113"/>
      <c r="I36" s="113"/>
      <c r="J36" s="113"/>
      <c r="K36" s="113"/>
      <c r="L36" s="113"/>
      <c r="M36" s="113"/>
      <c r="N36" s="113"/>
      <c r="O36" s="113"/>
      <c r="P36" s="113"/>
      <c r="Q36" s="113"/>
      <c r="R36" s="113"/>
      <c r="S36" s="113"/>
      <c r="T36" s="113"/>
      <c r="U36" s="113"/>
      <c r="V36" s="113"/>
      <c r="W36" s="114"/>
      <c r="X36" s="107"/>
    </row>
    <row r="37" spans="1:24" s="102" customFormat="1" ht="12.75">
      <c r="B37" s="108" t="s">
        <v>29</v>
      </c>
      <c r="D37" s="115">
        <v>-10784.239700398102</v>
      </c>
      <c r="E37" s="115">
        <v>-5177.9555941680592</v>
      </c>
      <c r="F37" s="115">
        <v>8023.2791961605253</v>
      </c>
      <c r="G37" s="115">
        <v>47414.831529815332</v>
      </c>
      <c r="H37" s="115">
        <v>59268.539412269165</v>
      </c>
      <c r="I37" s="115">
        <v>202494.28103573449</v>
      </c>
      <c r="J37" s="115">
        <v>202494.28103573449</v>
      </c>
      <c r="K37" s="115">
        <v>202494.28103573449</v>
      </c>
      <c r="L37" s="115">
        <v>202494.28103573449</v>
      </c>
      <c r="M37" s="115">
        <v>202494.28103573449</v>
      </c>
      <c r="N37" s="115">
        <v>202494.28103573449</v>
      </c>
      <c r="O37" s="115">
        <v>202494.28103573449</v>
      </c>
      <c r="P37" s="115">
        <v>202494.28103573449</v>
      </c>
      <c r="Q37" s="115">
        <v>202494.28103573449</v>
      </c>
      <c r="R37" s="115">
        <v>202494.28103573449</v>
      </c>
      <c r="S37" s="115">
        <v>202494.28103573449</v>
      </c>
      <c r="T37" s="115">
        <v>202494.28103573449</v>
      </c>
      <c r="U37" s="115">
        <v>202494.28103573449</v>
      </c>
      <c r="V37" s="115">
        <v>202494.28103573449</v>
      </c>
      <c r="W37" s="116">
        <v>202494.28103573449</v>
      </c>
      <c r="X37" s="107"/>
    </row>
    <row r="38" spans="1:24" s="102" customFormat="1" ht="13.5" thickBot="1">
      <c r="B38" s="108" t="s">
        <v>30</v>
      </c>
      <c r="C38" s="117">
        <v>-96000</v>
      </c>
      <c r="D38" s="118">
        <v>-106784.2397003981</v>
      </c>
      <c r="E38" s="118">
        <v>-111962.19529456616</v>
      </c>
      <c r="F38" s="118">
        <v>-103938.91609840564</v>
      </c>
      <c r="G38" s="118">
        <v>-56524.084568590304</v>
      </c>
      <c r="H38" s="118">
        <v>2744.4548436788609</v>
      </c>
      <c r="I38" s="118">
        <v>205238.73587941335</v>
      </c>
      <c r="J38" s="118">
        <v>407733.01691514783</v>
      </c>
      <c r="K38" s="118">
        <v>610227.29795088235</v>
      </c>
      <c r="L38" s="118">
        <v>812721.57898661681</v>
      </c>
      <c r="M38" s="118">
        <v>1015215.8600223513</v>
      </c>
      <c r="N38" s="118">
        <v>1217710.1410580857</v>
      </c>
      <c r="O38" s="118">
        <v>1420204.4220938203</v>
      </c>
      <c r="P38" s="118">
        <v>1622698.7031295549</v>
      </c>
      <c r="Q38" s="118">
        <v>1825192.9841652894</v>
      </c>
      <c r="R38" s="118">
        <v>2027687.265201024</v>
      </c>
      <c r="S38" s="118">
        <v>2230181.5462367586</v>
      </c>
      <c r="T38" s="118">
        <v>2432675.8272724929</v>
      </c>
      <c r="U38" s="118">
        <v>2635170.1083082273</v>
      </c>
      <c r="V38" s="118">
        <v>2837664.3893439616</v>
      </c>
      <c r="W38" s="119">
        <v>3040158.6703796959</v>
      </c>
      <c r="X38" s="107"/>
    </row>
    <row r="39" spans="1:24" s="128" customFormat="1" ht="14.25">
      <c r="A39" s="120"/>
      <c r="B39" s="121"/>
      <c r="C39" s="122"/>
      <c r="D39" s="123"/>
      <c r="E39" s="124"/>
      <c r="F39" s="124"/>
      <c r="G39" s="124"/>
      <c r="H39" s="124"/>
      <c r="I39" s="124"/>
      <c r="J39" s="124"/>
      <c r="K39" s="124"/>
      <c r="L39" s="124"/>
      <c r="M39" s="124"/>
      <c r="N39" s="124"/>
      <c r="O39" s="124"/>
      <c r="P39" s="124"/>
      <c r="Q39" s="124"/>
      <c r="R39" s="124"/>
      <c r="S39" s="124"/>
      <c r="T39" s="124"/>
      <c r="U39" s="124"/>
      <c r="V39" s="125"/>
      <c r="W39" s="126"/>
      <c r="X39" s="127"/>
    </row>
    <row r="40" spans="1:24" s="128" customFormat="1" thickBot="1">
      <c r="B40" s="129" t="s">
        <v>31</v>
      </c>
      <c r="C40" s="130">
        <v>4.9536945760618707</v>
      </c>
      <c r="D40" s="127"/>
      <c r="V40" s="121"/>
      <c r="W40" s="126"/>
      <c r="X40" s="127"/>
    </row>
    <row r="41" spans="1:24">
      <c r="V41" s="99"/>
      <c r="W41" s="100"/>
      <c r="X41" s="101"/>
    </row>
    <row r="42" spans="1:24">
      <c r="V42" s="99"/>
      <c r="W42" s="100"/>
      <c r="X42" s="101"/>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dimension ref="A1:Z115"/>
  <sheetViews>
    <sheetView topLeftCell="A83" zoomScale="70" zoomScaleNormal="70" workbookViewId="0">
      <selection activeCell="B115" sqref="B115"/>
    </sheetView>
  </sheetViews>
  <sheetFormatPr defaultColWidth="23.28515625" defaultRowHeight="14.25"/>
  <cols>
    <col min="1" max="1" width="67.140625" style="184" bestFit="1" customWidth="1"/>
    <col min="2" max="2" width="23.28515625" style="184" customWidth="1"/>
    <col min="3" max="3" width="16.42578125" style="184" bestFit="1" customWidth="1"/>
    <col min="4" max="4" width="15.28515625" style="184" bestFit="1" customWidth="1"/>
    <col min="5" max="5" width="16.42578125" style="184" customWidth="1"/>
    <col min="6" max="8" width="14.28515625" style="184" customWidth="1"/>
    <col min="9" max="10" width="13.28515625" style="184" customWidth="1"/>
    <col min="11" max="23" width="15.28515625" style="184" customWidth="1"/>
    <col min="24" max="25" width="13.85546875" style="184" customWidth="1"/>
    <col min="26" max="16384" width="23.28515625" style="184"/>
  </cols>
  <sheetData>
    <row r="1" spans="1:26" ht="17.649999999999999" customHeight="1">
      <c r="A1" s="180" t="s">
        <v>51</v>
      </c>
      <c r="B1" s="327" t="s">
        <v>52</v>
      </c>
      <c r="C1" s="327"/>
      <c r="D1" s="327"/>
      <c r="E1" s="327"/>
      <c r="F1" s="327"/>
      <c r="G1" s="327"/>
      <c r="H1" s="327"/>
      <c r="I1" s="327"/>
      <c r="J1" s="327"/>
      <c r="K1" s="181"/>
      <c r="L1" s="181"/>
      <c r="M1" s="181"/>
      <c r="N1" s="181"/>
      <c r="O1" s="181"/>
      <c r="P1" s="181"/>
      <c r="Q1" s="181"/>
      <c r="R1" s="181"/>
      <c r="S1" s="181"/>
      <c r="T1" s="181"/>
      <c r="U1" s="181"/>
      <c r="V1" s="181"/>
      <c r="W1" s="181"/>
      <c r="X1" s="181"/>
      <c r="Y1" s="182"/>
      <c r="Z1" s="183"/>
    </row>
    <row r="2" spans="1:26" ht="15" customHeight="1" thickBot="1">
      <c r="A2" s="185"/>
      <c r="B2" s="186"/>
      <c r="C2" s="186"/>
      <c r="D2" s="186"/>
      <c r="E2" s="186"/>
      <c r="F2" s="186"/>
      <c r="G2" s="186"/>
      <c r="H2" s="186"/>
      <c r="I2" s="186"/>
      <c r="J2" s="186"/>
      <c r="K2" s="186"/>
      <c r="L2" s="186"/>
      <c r="M2" s="186"/>
      <c r="N2" s="186"/>
      <c r="O2" s="186"/>
      <c r="P2" s="186"/>
      <c r="Q2" s="186"/>
      <c r="R2" s="186"/>
      <c r="S2" s="186"/>
      <c r="T2" s="186"/>
      <c r="U2" s="186"/>
      <c r="V2" s="186"/>
      <c r="W2" s="186"/>
      <c r="X2" s="186"/>
      <c r="Y2" s="187"/>
      <c r="Z2" s="183"/>
    </row>
    <row r="3" spans="1:26" ht="15" thickBot="1">
      <c r="A3" s="188"/>
      <c r="B3" s="189"/>
      <c r="C3" s="189"/>
      <c r="D3" s="190"/>
      <c r="E3" s="191"/>
      <c r="F3" s="191"/>
      <c r="G3" s="191"/>
      <c r="H3" s="191"/>
      <c r="I3" s="191"/>
      <c r="J3" s="191"/>
      <c r="K3" s="191"/>
      <c r="L3" s="191"/>
      <c r="M3" s="191"/>
      <c r="N3" s="191"/>
      <c r="O3" s="191"/>
      <c r="P3" s="191"/>
      <c r="Q3" s="191"/>
      <c r="R3" s="191"/>
      <c r="S3" s="191"/>
      <c r="T3" s="191"/>
      <c r="U3" s="191"/>
      <c r="V3" s="191"/>
      <c r="W3" s="191"/>
      <c r="X3" s="192"/>
      <c r="Y3" s="193"/>
      <c r="Z3" s="183"/>
    </row>
    <row r="4" spans="1:26" ht="27" customHeight="1" thickBot="1">
      <c r="A4" s="328" t="s">
        <v>53</v>
      </c>
      <c r="B4" s="329"/>
      <c r="C4" s="329"/>
      <c r="D4" s="329"/>
      <c r="E4" s="329"/>
      <c r="F4" s="329"/>
      <c r="G4" s="329"/>
      <c r="H4" s="329"/>
      <c r="I4" s="329"/>
      <c r="J4" s="329"/>
      <c r="K4" s="329"/>
      <c r="L4" s="329"/>
      <c r="M4" s="329"/>
      <c r="N4" s="329"/>
      <c r="O4" s="329"/>
      <c r="P4" s="329"/>
      <c r="Q4" s="329"/>
      <c r="R4" s="329"/>
      <c r="S4" s="329"/>
      <c r="T4" s="329"/>
      <c r="U4" s="329"/>
      <c r="V4" s="329"/>
      <c r="W4" s="329"/>
      <c r="X4" s="329"/>
      <c r="Y4" s="330"/>
      <c r="Z4" s="183"/>
    </row>
    <row r="5" spans="1:26">
      <c r="A5" s="194"/>
      <c r="B5" s="195" t="s">
        <v>54</v>
      </c>
      <c r="C5" s="196" t="s">
        <v>55</v>
      </c>
      <c r="D5" s="197" t="s">
        <v>56</v>
      </c>
      <c r="E5" s="196">
        <v>2023</v>
      </c>
      <c r="F5" s="196">
        <v>2024</v>
      </c>
      <c r="G5" s="196">
        <v>2025</v>
      </c>
      <c r="H5" s="196">
        <v>2026</v>
      </c>
      <c r="I5" s="196">
        <v>2027</v>
      </c>
      <c r="J5" s="196">
        <v>2028</v>
      </c>
      <c r="K5" s="196">
        <v>2029</v>
      </c>
      <c r="L5" s="196">
        <v>2030</v>
      </c>
      <c r="M5" s="196">
        <v>2031</v>
      </c>
      <c r="N5" s="196">
        <v>2032</v>
      </c>
      <c r="O5" s="196">
        <v>2033</v>
      </c>
      <c r="P5" s="196">
        <v>2034</v>
      </c>
      <c r="Q5" s="196">
        <v>2035</v>
      </c>
      <c r="R5" s="196">
        <v>2036</v>
      </c>
      <c r="S5" s="196">
        <v>2037</v>
      </c>
      <c r="T5" s="196">
        <v>2038</v>
      </c>
      <c r="U5" s="196">
        <v>2039</v>
      </c>
      <c r="V5" s="196">
        <v>2040</v>
      </c>
      <c r="W5" s="196">
        <v>2041</v>
      </c>
      <c r="X5" s="196">
        <v>2042</v>
      </c>
      <c r="Y5" s="198">
        <v>2043</v>
      </c>
      <c r="Z5" s="183"/>
    </row>
    <row r="6" spans="1:26" ht="15" thickBot="1">
      <c r="A6" s="199" t="s">
        <v>57</v>
      </c>
      <c r="B6" s="200"/>
      <c r="C6" s="200"/>
      <c r="D6" s="196"/>
      <c r="E6" s="201"/>
      <c r="F6" s="201"/>
      <c r="G6" s="201"/>
      <c r="H6" s="201"/>
      <c r="I6" s="201"/>
      <c r="J6" s="201"/>
      <c r="K6" s="201"/>
      <c r="L6" s="201"/>
      <c r="M6" s="201"/>
      <c r="N6" s="201"/>
      <c r="O6" s="201"/>
      <c r="P6" s="201"/>
      <c r="Q6" s="201"/>
      <c r="R6" s="201"/>
      <c r="S6" s="201"/>
      <c r="T6" s="201"/>
      <c r="U6" s="201"/>
      <c r="V6" s="201"/>
      <c r="W6" s="201"/>
      <c r="X6" s="202"/>
      <c r="Y6" s="203"/>
      <c r="Z6" s="183"/>
    </row>
    <row r="7" spans="1:26" ht="15" thickBot="1">
      <c r="A7" s="204" t="s">
        <v>58</v>
      </c>
      <c r="B7" s="205" t="s">
        <v>59</v>
      </c>
      <c r="C7" s="200"/>
      <c r="D7" s="206" t="s">
        <v>1</v>
      </c>
      <c r="E7" s="36">
        <v>37.44</v>
      </c>
      <c r="F7" s="36">
        <v>37.44</v>
      </c>
      <c r="G7" s="36">
        <v>37.44</v>
      </c>
      <c r="H7" s="36">
        <v>37.44</v>
      </c>
      <c r="I7" s="36">
        <v>37.44</v>
      </c>
      <c r="J7" s="36">
        <v>37.44</v>
      </c>
      <c r="K7" s="36">
        <v>37.44</v>
      </c>
      <c r="L7" s="36">
        <v>37.44</v>
      </c>
      <c r="M7" s="36">
        <v>37.44</v>
      </c>
      <c r="N7" s="36">
        <v>37.44</v>
      </c>
      <c r="O7" s="36">
        <v>37.44</v>
      </c>
      <c r="P7" s="36">
        <v>37.44</v>
      </c>
      <c r="Q7" s="36">
        <v>37.44</v>
      </c>
      <c r="R7" s="36">
        <v>37.44</v>
      </c>
      <c r="S7" s="36">
        <v>37.44</v>
      </c>
      <c r="T7" s="36">
        <v>37.44</v>
      </c>
      <c r="U7" s="36">
        <v>37.44</v>
      </c>
      <c r="V7" s="36">
        <v>37.44</v>
      </c>
      <c r="W7" s="36">
        <v>37.44</v>
      </c>
      <c r="X7" s="36">
        <v>37.44</v>
      </c>
      <c r="Y7" s="36">
        <v>37.44</v>
      </c>
      <c r="Z7" s="183"/>
    </row>
    <row r="8" spans="1:26" ht="26.25" thickBot="1">
      <c r="A8" s="207" t="s">
        <v>60</v>
      </c>
      <c r="B8" s="205" t="s">
        <v>59</v>
      </c>
      <c r="C8" s="208"/>
      <c r="D8" s="206" t="s">
        <v>1</v>
      </c>
      <c r="E8" s="36"/>
      <c r="F8" s="36">
        <v>15182.816326530614</v>
      </c>
      <c r="G8" s="36">
        <v>15182.816326530614</v>
      </c>
      <c r="H8" s="36">
        <v>15182.816326530614</v>
      </c>
      <c r="I8" s="36">
        <v>15182.816326530614</v>
      </c>
      <c r="J8" s="36">
        <v>15182.816326530614</v>
      </c>
      <c r="K8" s="36">
        <v>15182.816326530614</v>
      </c>
      <c r="L8" s="36">
        <v>15182.816326530614</v>
      </c>
      <c r="M8" s="36">
        <v>15182.816326530614</v>
      </c>
      <c r="N8" s="36">
        <v>15182.816326530614</v>
      </c>
      <c r="O8" s="36">
        <v>15182.816326530614</v>
      </c>
      <c r="P8" s="36">
        <v>15182.816326530614</v>
      </c>
      <c r="Q8" s="36">
        <v>15182.816326530614</v>
      </c>
      <c r="R8" s="36">
        <v>15182.816326530614</v>
      </c>
      <c r="S8" s="36">
        <v>15182.816326530614</v>
      </c>
      <c r="T8" s="36">
        <v>15182.816326530614</v>
      </c>
      <c r="U8" s="36">
        <v>15182.816326530614</v>
      </c>
      <c r="V8" s="36">
        <v>15182.816326530614</v>
      </c>
      <c r="W8" s="36">
        <v>15182.816326530614</v>
      </c>
      <c r="X8" s="36">
        <v>15182.816326530614</v>
      </c>
      <c r="Y8" s="36">
        <v>15182.816326530614</v>
      </c>
      <c r="Z8" s="183"/>
    </row>
    <row r="9" spans="1:26" ht="15" thickBot="1">
      <c r="A9" s="209" t="s">
        <v>61</v>
      </c>
      <c r="B9" s="210"/>
      <c r="C9" s="210"/>
      <c r="D9" s="206" t="s">
        <v>1</v>
      </c>
      <c r="E9" s="36">
        <v>37.44</v>
      </c>
      <c r="F9" s="36">
        <v>15220.256326530614</v>
      </c>
      <c r="G9" s="36">
        <v>15220.256326530614</v>
      </c>
      <c r="H9" s="36">
        <v>15220.256326530614</v>
      </c>
      <c r="I9" s="36">
        <v>15220.256326530614</v>
      </c>
      <c r="J9" s="36">
        <v>15220.256326530614</v>
      </c>
      <c r="K9" s="36">
        <v>15220.256326530614</v>
      </c>
      <c r="L9" s="36">
        <v>15220.256326530614</v>
      </c>
      <c r="M9" s="36">
        <v>15220.256326530614</v>
      </c>
      <c r="N9" s="36">
        <v>15220.256326530614</v>
      </c>
      <c r="O9" s="36">
        <v>15220.256326530614</v>
      </c>
      <c r="P9" s="36">
        <v>15220.256326530614</v>
      </c>
      <c r="Q9" s="36">
        <v>15220.256326530614</v>
      </c>
      <c r="R9" s="36">
        <v>15220.256326530614</v>
      </c>
      <c r="S9" s="36">
        <v>15220.256326530614</v>
      </c>
      <c r="T9" s="36">
        <v>15220.256326530614</v>
      </c>
      <c r="U9" s="36">
        <v>15220.256326530614</v>
      </c>
      <c r="V9" s="36">
        <v>15220.256326530614</v>
      </c>
      <c r="W9" s="36">
        <v>15220.256326530614</v>
      </c>
      <c r="X9" s="36">
        <v>15220.256326530614</v>
      </c>
      <c r="Y9" s="36">
        <v>15220.256326530614</v>
      </c>
      <c r="Z9" s="183"/>
    </row>
    <row r="10" spans="1:26" ht="15" thickBot="1">
      <c r="A10" s="199" t="s">
        <v>62</v>
      </c>
      <c r="B10" s="211"/>
      <c r="C10" s="211"/>
      <c r="D10" s="212"/>
      <c r="E10" s="36"/>
      <c r="F10" s="36"/>
      <c r="G10" s="36"/>
      <c r="H10" s="36"/>
      <c r="I10" s="36"/>
      <c r="J10" s="36"/>
      <c r="K10" s="36"/>
      <c r="L10" s="36"/>
      <c r="M10" s="36"/>
      <c r="N10" s="36"/>
      <c r="O10" s="36"/>
      <c r="P10" s="36"/>
      <c r="Q10" s="36"/>
      <c r="R10" s="36"/>
      <c r="S10" s="36"/>
      <c r="T10" s="36"/>
      <c r="U10" s="36"/>
      <c r="V10" s="36"/>
      <c r="W10" s="36"/>
      <c r="X10" s="36"/>
      <c r="Y10" s="36"/>
      <c r="Z10" s="183"/>
    </row>
    <row r="11" spans="1:26" ht="15" thickBot="1">
      <c r="A11" s="204" t="s">
        <v>35</v>
      </c>
      <c r="B11" s="213"/>
      <c r="C11" s="213"/>
      <c r="D11" s="206" t="s">
        <v>1</v>
      </c>
      <c r="E11" s="36">
        <v>2000</v>
      </c>
      <c r="F11" s="36"/>
      <c r="G11" s="36"/>
      <c r="H11" s="36"/>
      <c r="I11" s="36"/>
      <c r="J11" s="36"/>
      <c r="K11" s="36"/>
      <c r="L11" s="36"/>
      <c r="M11" s="36"/>
      <c r="N11" s="36"/>
      <c r="O11" s="36"/>
      <c r="P11" s="36"/>
      <c r="Q11" s="36"/>
      <c r="R11" s="36"/>
      <c r="S11" s="36"/>
      <c r="T11" s="36"/>
      <c r="U11" s="36"/>
      <c r="V11" s="36"/>
      <c r="W11" s="36"/>
      <c r="X11" s="36"/>
      <c r="Y11" s="36"/>
      <c r="Z11" s="183"/>
    </row>
    <row r="12" spans="1:26" ht="15" thickBot="1">
      <c r="A12" s="204" t="s">
        <v>63</v>
      </c>
      <c r="B12" s="213"/>
      <c r="C12" s="213"/>
      <c r="D12" s="206" t="s">
        <v>1</v>
      </c>
      <c r="E12" s="36"/>
      <c r="F12" s="36">
        <v>200</v>
      </c>
      <c r="G12" s="36">
        <v>200</v>
      </c>
      <c r="H12" s="36">
        <v>200</v>
      </c>
      <c r="I12" s="36">
        <v>200</v>
      </c>
      <c r="J12" s="36">
        <v>200</v>
      </c>
      <c r="K12" s="36">
        <v>200</v>
      </c>
      <c r="L12" s="36">
        <v>200</v>
      </c>
      <c r="M12" s="36">
        <v>200</v>
      </c>
      <c r="N12" s="36">
        <v>200</v>
      </c>
      <c r="O12" s="36">
        <v>200</v>
      </c>
      <c r="P12" s="36">
        <v>200</v>
      </c>
      <c r="Q12" s="36">
        <v>200</v>
      </c>
      <c r="R12" s="36">
        <v>200</v>
      </c>
      <c r="S12" s="36">
        <v>200</v>
      </c>
      <c r="T12" s="36">
        <v>200</v>
      </c>
      <c r="U12" s="36">
        <v>200</v>
      </c>
      <c r="V12" s="36">
        <v>200</v>
      </c>
      <c r="W12" s="36">
        <v>200</v>
      </c>
      <c r="X12" s="36">
        <v>200</v>
      </c>
      <c r="Y12" s="36">
        <v>200</v>
      </c>
      <c r="Z12" s="183"/>
    </row>
    <row r="13" spans="1:26" ht="15" thickBot="1">
      <c r="A13" s="209" t="s">
        <v>64</v>
      </c>
      <c r="B13" s="210"/>
      <c r="C13" s="210"/>
      <c r="D13" s="206" t="s">
        <v>1</v>
      </c>
      <c r="E13" s="36">
        <v>2000</v>
      </c>
      <c r="F13" s="36">
        <v>200</v>
      </c>
      <c r="G13" s="36">
        <v>200</v>
      </c>
      <c r="H13" s="36">
        <v>200</v>
      </c>
      <c r="I13" s="36">
        <v>200</v>
      </c>
      <c r="J13" s="36">
        <v>200</v>
      </c>
      <c r="K13" s="36">
        <v>200</v>
      </c>
      <c r="L13" s="36">
        <v>200</v>
      </c>
      <c r="M13" s="36">
        <v>200</v>
      </c>
      <c r="N13" s="36">
        <v>200</v>
      </c>
      <c r="O13" s="36">
        <v>200</v>
      </c>
      <c r="P13" s="36">
        <v>200</v>
      </c>
      <c r="Q13" s="36">
        <v>200</v>
      </c>
      <c r="R13" s="36">
        <v>200</v>
      </c>
      <c r="S13" s="36">
        <v>200</v>
      </c>
      <c r="T13" s="36">
        <v>200</v>
      </c>
      <c r="U13" s="36">
        <v>200</v>
      </c>
      <c r="V13" s="36">
        <v>200</v>
      </c>
      <c r="W13" s="36">
        <v>200</v>
      </c>
      <c r="X13" s="36">
        <v>200</v>
      </c>
      <c r="Y13" s="36">
        <v>200</v>
      </c>
      <c r="Z13" s="183"/>
    </row>
    <row r="14" spans="1:26" ht="15" thickBot="1">
      <c r="A14" s="214" t="s">
        <v>65</v>
      </c>
      <c r="B14" s="210"/>
      <c r="C14" s="210"/>
      <c r="D14" s="206" t="s">
        <v>1</v>
      </c>
      <c r="E14" s="36">
        <v>-1962.56</v>
      </c>
      <c r="F14" s="36">
        <v>15020.256326530614</v>
      </c>
      <c r="G14" s="36">
        <v>15020.256326530614</v>
      </c>
      <c r="H14" s="36">
        <v>15020.256326530614</v>
      </c>
      <c r="I14" s="36">
        <v>15020.256326530614</v>
      </c>
      <c r="J14" s="36">
        <v>15020.256326530614</v>
      </c>
      <c r="K14" s="36">
        <v>15020.256326530614</v>
      </c>
      <c r="L14" s="36">
        <v>15020.256326530614</v>
      </c>
      <c r="M14" s="36">
        <v>15020.256326530614</v>
      </c>
      <c r="N14" s="36">
        <v>15020.256326530614</v>
      </c>
      <c r="O14" s="36">
        <v>15020.256326530614</v>
      </c>
      <c r="P14" s="36">
        <v>15020.256326530614</v>
      </c>
      <c r="Q14" s="36">
        <v>15020.256326530614</v>
      </c>
      <c r="R14" s="36">
        <v>15020.256326530614</v>
      </c>
      <c r="S14" s="36">
        <v>15020.256326530614</v>
      </c>
      <c r="T14" s="36">
        <v>15020.256326530614</v>
      </c>
      <c r="U14" s="36">
        <v>15020.256326530614</v>
      </c>
      <c r="V14" s="36">
        <v>15020.256326530614</v>
      </c>
      <c r="W14" s="36">
        <v>15020.256326530614</v>
      </c>
      <c r="X14" s="36">
        <v>15020.256326530614</v>
      </c>
      <c r="Y14" s="36">
        <v>15020.256326530614</v>
      </c>
      <c r="Z14" s="183"/>
    </row>
    <row r="15" spans="1:26">
      <c r="A15" s="215"/>
      <c r="B15" s="216"/>
      <c r="C15" s="216"/>
      <c r="D15" s="216"/>
      <c r="E15" s="217"/>
      <c r="F15" s="217"/>
      <c r="G15" s="217"/>
      <c r="H15" s="217"/>
      <c r="I15" s="217"/>
      <c r="J15" s="217"/>
      <c r="K15" s="217"/>
      <c r="L15" s="217"/>
      <c r="M15" s="217"/>
      <c r="N15" s="217"/>
      <c r="O15" s="217"/>
      <c r="P15" s="217"/>
      <c r="Q15" s="217"/>
      <c r="R15" s="217"/>
      <c r="S15" s="217"/>
      <c r="T15" s="217"/>
      <c r="U15" s="217"/>
      <c r="V15" s="217"/>
      <c r="W15" s="217"/>
      <c r="X15" s="218"/>
      <c r="Y15" s="219"/>
      <c r="Z15" s="183"/>
    </row>
    <row r="16" spans="1:26" ht="15" thickBot="1">
      <c r="A16" s="220"/>
      <c r="B16" s="221"/>
      <c r="C16" s="221"/>
      <c r="D16" s="222"/>
      <c r="E16" s="223"/>
      <c r="F16" s="223"/>
      <c r="G16" s="223"/>
      <c r="H16" s="223"/>
      <c r="I16" s="223"/>
      <c r="J16" s="223"/>
      <c r="K16" s="223"/>
      <c r="L16" s="223"/>
      <c r="M16" s="223"/>
      <c r="N16" s="223"/>
      <c r="O16" s="223"/>
      <c r="P16" s="223"/>
      <c r="Q16" s="223"/>
      <c r="R16" s="223"/>
      <c r="S16" s="223"/>
      <c r="T16" s="223"/>
      <c r="U16" s="223"/>
      <c r="V16" s="223"/>
      <c r="W16" s="223"/>
      <c r="X16" s="224"/>
      <c r="Y16" s="225"/>
      <c r="Z16" s="183"/>
    </row>
    <row r="17" spans="1:26" ht="15" thickBot="1">
      <c r="A17" s="331" t="s">
        <v>66</v>
      </c>
      <c r="B17" s="332"/>
      <c r="C17" s="332"/>
      <c r="D17" s="333"/>
      <c r="E17" s="226"/>
      <c r="F17" s="227"/>
      <c r="G17" s="227"/>
      <c r="H17" s="227"/>
      <c r="I17" s="227"/>
      <c r="J17" s="227"/>
      <c r="K17" s="227"/>
      <c r="L17" s="227"/>
      <c r="M17" s="227"/>
      <c r="N17" s="227"/>
      <c r="O17" s="227"/>
      <c r="P17" s="227"/>
      <c r="Q17" s="227"/>
      <c r="R17" s="227"/>
      <c r="S17" s="227"/>
      <c r="T17" s="227"/>
      <c r="U17" s="227"/>
      <c r="V17" s="227"/>
      <c r="W17" s="227"/>
      <c r="X17" s="228"/>
      <c r="Y17" s="229"/>
      <c r="Z17" s="183"/>
    </row>
    <row r="18" spans="1:26" ht="15" thickBot="1">
      <c r="A18" s="334" t="s">
        <v>10</v>
      </c>
      <c r="B18" s="335"/>
      <c r="C18" s="336"/>
      <c r="D18" s="94">
        <v>8.5000000000000006E-2</v>
      </c>
      <c r="E18" s="226"/>
      <c r="F18" s="227"/>
      <c r="G18" s="227"/>
      <c r="H18" s="227"/>
      <c r="I18" s="227"/>
      <c r="J18" s="227"/>
      <c r="K18" s="227"/>
      <c r="L18" s="227"/>
      <c r="M18" s="227"/>
      <c r="N18" s="227"/>
      <c r="O18" s="227"/>
      <c r="P18" s="227"/>
      <c r="Q18" s="227"/>
      <c r="R18" s="227"/>
      <c r="S18" s="227"/>
      <c r="T18" s="227"/>
      <c r="U18" s="227"/>
      <c r="V18" s="227"/>
      <c r="W18" s="227"/>
      <c r="X18" s="228"/>
      <c r="Y18" s="229"/>
      <c r="Z18" s="183"/>
    </row>
    <row r="19" spans="1:26" ht="15" thickBot="1">
      <c r="A19" s="337" t="s">
        <v>23</v>
      </c>
      <c r="B19" s="338"/>
      <c r="C19" s="338"/>
      <c r="D19" s="339"/>
      <c r="E19" s="230"/>
      <c r="F19" s="227"/>
      <c r="G19" s="231"/>
      <c r="H19" s="227"/>
      <c r="I19" s="227"/>
      <c r="J19" s="227"/>
      <c r="K19" s="227"/>
      <c r="L19" s="227"/>
      <c r="M19" s="227"/>
      <c r="N19" s="227"/>
      <c r="O19" s="227"/>
      <c r="P19" s="227"/>
      <c r="Q19" s="227"/>
      <c r="R19" s="227"/>
      <c r="S19" s="227"/>
      <c r="T19" s="227"/>
      <c r="U19" s="227"/>
      <c r="V19" s="227"/>
      <c r="W19" s="227"/>
      <c r="X19" s="228"/>
      <c r="Y19" s="229"/>
      <c r="Z19" s="183"/>
    </row>
    <row r="20" spans="1:26">
      <c r="A20" s="340" t="s">
        <v>67</v>
      </c>
      <c r="B20" s="341"/>
      <c r="C20" s="342"/>
      <c r="D20" s="232">
        <v>129197.40235053391</v>
      </c>
      <c r="E20" s="230" t="s">
        <v>1</v>
      </c>
      <c r="F20" s="227"/>
      <c r="G20" s="227"/>
      <c r="H20" s="227"/>
      <c r="I20" s="227"/>
      <c r="J20" s="227"/>
      <c r="K20" s="227"/>
      <c r="L20" s="227"/>
      <c r="M20" s="227"/>
      <c r="N20" s="227"/>
      <c r="O20" s="227"/>
      <c r="P20" s="227"/>
      <c r="Q20" s="227"/>
      <c r="R20" s="227"/>
      <c r="S20" s="227"/>
      <c r="T20" s="227"/>
      <c r="U20" s="227"/>
      <c r="V20" s="227"/>
      <c r="W20" s="227"/>
      <c r="X20" s="228"/>
      <c r="Y20" s="229"/>
      <c r="Z20" s="183"/>
    </row>
    <row r="21" spans="1:26">
      <c r="A21" s="343" t="s">
        <v>68</v>
      </c>
      <c r="B21" s="344"/>
      <c r="C21" s="345"/>
      <c r="D21" s="233">
        <v>7.6533998076647931</v>
      </c>
      <c r="E21" s="234" t="s">
        <v>24</v>
      </c>
      <c r="F21" s="235"/>
      <c r="G21" s="235"/>
      <c r="H21" s="235"/>
      <c r="I21" s="235"/>
      <c r="J21" s="235"/>
      <c r="K21" s="235"/>
      <c r="L21" s="235"/>
      <c r="M21" s="235"/>
      <c r="N21" s="235"/>
      <c r="O21" s="235"/>
      <c r="P21" s="235"/>
      <c r="Q21" s="235"/>
      <c r="R21" s="235"/>
      <c r="S21" s="235"/>
      <c r="T21" s="235"/>
      <c r="U21" s="235"/>
      <c r="V21" s="235"/>
      <c r="W21" s="235"/>
      <c r="X21" s="236"/>
      <c r="Y21" s="237"/>
      <c r="Z21" s="183"/>
    </row>
    <row r="22" spans="1:26" ht="15" thickBot="1">
      <c r="A22" s="346" t="s">
        <v>69</v>
      </c>
      <c r="B22" s="347"/>
      <c r="C22" s="348"/>
      <c r="D22" s="97">
        <v>0.34407861917998783</v>
      </c>
      <c r="E22" s="230" t="s">
        <v>24</v>
      </c>
      <c r="F22" s="235"/>
      <c r="G22" s="235"/>
      <c r="H22" s="235"/>
      <c r="I22" s="235"/>
      <c r="J22" s="235"/>
      <c r="K22" s="235"/>
      <c r="L22" s="235"/>
      <c r="M22" s="235"/>
      <c r="N22" s="235"/>
      <c r="O22" s="235"/>
      <c r="P22" s="235"/>
      <c r="Q22" s="235"/>
      <c r="R22" s="235"/>
      <c r="S22" s="235"/>
      <c r="T22" s="235"/>
      <c r="U22" s="235"/>
      <c r="V22" s="235"/>
      <c r="W22" s="235"/>
      <c r="X22" s="236"/>
      <c r="Y22" s="237"/>
      <c r="Z22" s="183"/>
    </row>
    <row r="23" spans="1:26" ht="15" thickBot="1">
      <c r="A23" s="238"/>
      <c r="B23" s="239"/>
      <c r="C23" s="239"/>
      <c r="D23" s="221"/>
      <c r="E23" s="235"/>
      <c r="F23" s="235"/>
      <c r="G23" s="235"/>
      <c r="H23" s="235"/>
      <c r="I23" s="235"/>
      <c r="J23" s="235"/>
      <c r="K23" s="235"/>
      <c r="L23" s="235"/>
      <c r="M23" s="235"/>
      <c r="N23" s="235"/>
      <c r="O23" s="235"/>
      <c r="P23" s="235"/>
      <c r="Q23" s="235"/>
      <c r="R23" s="235"/>
      <c r="S23" s="235"/>
      <c r="T23" s="235"/>
      <c r="U23" s="235"/>
      <c r="V23" s="235"/>
      <c r="W23" s="235"/>
      <c r="X23" s="236"/>
      <c r="Y23" s="237"/>
      <c r="Z23" s="183"/>
    </row>
    <row r="24" spans="1:26" ht="27" customHeight="1" thickBot="1">
      <c r="A24" s="328" t="s">
        <v>70</v>
      </c>
      <c r="B24" s="329"/>
      <c r="C24" s="329"/>
      <c r="D24" s="329"/>
      <c r="E24" s="329"/>
      <c r="F24" s="329"/>
      <c r="G24" s="329"/>
      <c r="H24" s="329"/>
      <c r="I24" s="329"/>
      <c r="J24" s="329"/>
      <c r="K24" s="329"/>
      <c r="L24" s="329"/>
      <c r="M24" s="329"/>
      <c r="N24" s="329"/>
      <c r="O24" s="329"/>
      <c r="P24" s="329"/>
      <c r="Q24" s="329"/>
      <c r="R24" s="329"/>
      <c r="S24" s="329"/>
      <c r="T24" s="329"/>
      <c r="U24" s="329"/>
      <c r="V24" s="329"/>
      <c r="W24" s="329"/>
      <c r="X24" s="329"/>
      <c r="Y24" s="330"/>
      <c r="Z24" s="183"/>
    </row>
    <row r="25" spans="1:26" ht="25.9" customHeight="1">
      <c r="A25" s="240"/>
      <c r="B25" s="195" t="s">
        <v>54</v>
      </c>
      <c r="C25" s="196" t="s">
        <v>55</v>
      </c>
      <c r="D25" s="197" t="s">
        <v>56</v>
      </c>
      <c r="E25" s="196">
        <v>2023</v>
      </c>
      <c r="F25" s="196">
        <v>2024</v>
      </c>
      <c r="G25" s="196">
        <v>2025</v>
      </c>
      <c r="H25" s="196">
        <v>2026</v>
      </c>
      <c r="I25" s="196">
        <v>2027</v>
      </c>
      <c r="J25" s="196">
        <v>2028</v>
      </c>
      <c r="K25" s="196">
        <v>2029</v>
      </c>
      <c r="L25" s="196">
        <v>2030</v>
      </c>
      <c r="M25" s="196">
        <v>2031</v>
      </c>
      <c r="N25" s="196">
        <v>2032</v>
      </c>
      <c r="O25" s="196">
        <v>2033</v>
      </c>
      <c r="P25" s="196">
        <v>2034</v>
      </c>
      <c r="Q25" s="196">
        <v>2035</v>
      </c>
      <c r="R25" s="196">
        <v>2036</v>
      </c>
      <c r="S25" s="196">
        <v>2037</v>
      </c>
      <c r="T25" s="196">
        <v>2038</v>
      </c>
      <c r="U25" s="196">
        <v>2039</v>
      </c>
      <c r="V25" s="196">
        <v>2040</v>
      </c>
      <c r="W25" s="196">
        <v>2041</v>
      </c>
      <c r="X25" s="196">
        <v>2042</v>
      </c>
      <c r="Y25" s="198">
        <v>2043</v>
      </c>
      <c r="Z25" s="183"/>
    </row>
    <row r="26" spans="1:26" ht="15" thickBot="1">
      <c r="A26" s="199" t="s">
        <v>57</v>
      </c>
      <c r="B26" s="200"/>
      <c r="C26" s="200"/>
      <c r="D26" s="196"/>
      <c r="E26" s="213"/>
      <c r="F26" s="200"/>
      <c r="G26" s="200"/>
      <c r="H26" s="200"/>
      <c r="I26" s="200"/>
      <c r="J26" s="200"/>
      <c r="K26" s="200"/>
      <c r="L26" s="200"/>
      <c r="M26" s="200"/>
      <c r="N26" s="200"/>
      <c r="O26" s="200"/>
      <c r="P26" s="200"/>
      <c r="Q26" s="200"/>
      <c r="R26" s="200"/>
      <c r="S26" s="200"/>
      <c r="T26" s="200"/>
      <c r="U26" s="200"/>
      <c r="V26" s="200"/>
      <c r="W26" s="200"/>
      <c r="X26" s="241"/>
      <c r="Y26" s="242"/>
      <c r="Z26" s="183"/>
    </row>
    <row r="27" spans="1:26" ht="15" thickBot="1">
      <c r="A27" s="204" t="s">
        <v>58</v>
      </c>
      <c r="B27" s="205" t="s">
        <v>59</v>
      </c>
      <c r="C27" s="208"/>
      <c r="D27" s="206" t="s">
        <v>1</v>
      </c>
      <c r="E27" s="36">
        <v>37.44</v>
      </c>
      <c r="F27" s="36">
        <v>37.44</v>
      </c>
      <c r="G27" s="36">
        <v>37.44</v>
      </c>
      <c r="H27" s="36">
        <v>37.44</v>
      </c>
      <c r="I27" s="36">
        <v>37.44</v>
      </c>
      <c r="J27" s="36">
        <v>37.44</v>
      </c>
      <c r="K27" s="36">
        <v>37.44</v>
      </c>
      <c r="L27" s="36">
        <v>37.44</v>
      </c>
      <c r="M27" s="36">
        <v>37.44</v>
      </c>
      <c r="N27" s="36">
        <v>37.44</v>
      </c>
      <c r="O27" s="36">
        <v>37.44</v>
      </c>
      <c r="P27" s="36">
        <v>37.44</v>
      </c>
      <c r="Q27" s="36">
        <v>37.44</v>
      </c>
      <c r="R27" s="36">
        <v>37.44</v>
      </c>
      <c r="S27" s="36">
        <v>37.44</v>
      </c>
      <c r="T27" s="36">
        <v>37.44</v>
      </c>
      <c r="U27" s="36">
        <v>37.44</v>
      </c>
      <c r="V27" s="36">
        <v>37.44</v>
      </c>
      <c r="W27" s="36">
        <v>37.44</v>
      </c>
      <c r="X27" s="36">
        <v>37.44</v>
      </c>
      <c r="Y27" s="36">
        <v>37.44</v>
      </c>
      <c r="Z27" s="183"/>
    </row>
    <row r="28" spans="1:26" ht="26.25" thickBot="1">
      <c r="A28" s="207" t="s">
        <v>60</v>
      </c>
      <c r="B28" s="205" t="s">
        <v>59</v>
      </c>
      <c r="C28" s="208"/>
      <c r="D28" s="206" t="s">
        <v>1</v>
      </c>
      <c r="E28" s="36">
        <v>0</v>
      </c>
      <c r="F28" s="36">
        <v>15182.816326530614</v>
      </c>
      <c r="G28" s="36">
        <v>15182.816326530614</v>
      </c>
      <c r="H28" s="36">
        <v>15182.816326530614</v>
      </c>
      <c r="I28" s="36">
        <v>15182.816326530614</v>
      </c>
      <c r="J28" s="36">
        <v>15182.816326530614</v>
      </c>
      <c r="K28" s="36">
        <v>15182.816326530614</v>
      </c>
      <c r="L28" s="36">
        <v>15182.816326530614</v>
      </c>
      <c r="M28" s="36">
        <v>15182.816326530614</v>
      </c>
      <c r="N28" s="36">
        <v>15182.816326530614</v>
      </c>
      <c r="O28" s="36">
        <v>15182.816326530614</v>
      </c>
      <c r="P28" s="36">
        <v>15182.816326530614</v>
      </c>
      <c r="Q28" s="36">
        <v>15182.816326530614</v>
      </c>
      <c r="R28" s="36">
        <v>15182.816326530614</v>
      </c>
      <c r="S28" s="36">
        <v>15182.816326530614</v>
      </c>
      <c r="T28" s="36">
        <v>15182.816326530614</v>
      </c>
      <c r="U28" s="36">
        <v>15182.816326530614</v>
      </c>
      <c r="V28" s="36">
        <v>15182.816326530614</v>
      </c>
      <c r="W28" s="36">
        <v>15182.816326530614</v>
      </c>
      <c r="X28" s="36">
        <v>15182.816326530614</v>
      </c>
      <c r="Y28" s="36">
        <v>15182.816326530614</v>
      </c>
      <c r="Z28" s="183"/>
    </row>
    <row r="29" spans="1:26" ht="15" thickBot="1">
      <c r="A29" s="209" t="s">
        <v>61</v>
      </c>
      <c r="B29" s="210"/>
      <c r="C29" s="210"/>
      <c r="D29" s="206" t="s">
        <v>1</v>
      </c>
      <c r="E29" s="36">
        <v>37.44</v>
      </c>
      <c r="F29" s="36">
        <v>15220.256326530614</v>
      </c>
      <c r="G29" s="36">
        <v>15220.256326530614</v>
      </c>
      <c r="H29" s="36">
        <v>15220.256326530614</v>
      </c>
      <c r="I29" s="36">
        <v>15220.256326530614</v>
      </c>
      <c r="J29" s="36">
        <v>15220.256326530614</v>
      </c>
      <c r="K29" s="36">
        <v>15220.256326530614</v>
      </c>
      <c r="L29" s="36">
        <v>15220.256326530614</v>
      </c>
      <c r="M29" s="36">
        <v>15220.256326530614</v>
      </c>
      <c r="N29" s="36">
        <v>15220.256326530614</v>
      </c>
      <c r="O29" s="36">
        <v>15220.256326530614</v>
      </c>
      <c r="P29" s="36">
        <v>15220.256326530614</v>
      </c>
      <c r="Q29" s="36">
        <v>15220.256326530614</v>
      </c>
      <c r="R29" s="36">
        <v>15220.256326530614</v>
      </c>
      <c r="S29" s="36">
        <v>15220.256326530614</v>
      </c>
      <c r="T29" s="36">
        <v>15220.256326530614</v>
      </c>
      <c r="U29" s="36">
        <v>15220.256326530614</v>
      </c>
      <c r="V29" s="36">
        <v>15220.256326530614</v>
      </c>
      <c r="W29" s="36">
        <v>15220.256326530614</v>
      </c>
      <c r="X29" s="36">
        <v>15220.256326530614</v>
      </c>
      <c r="Y29" s="36">
        <v>15220.256326530614</v>
      </c>
      <c r="Z29" s="183"/>
    </row>
    <row r="30" spans="1:26" ht="15" thickBot="1">
      <c r="A30" s="199" t="s">
        <v>62</v>
      </c>
      <c r="B30" s="211"/>
      <c r="C30" s="211"/>
      <c r="D30" s="212"/>
      <c r="E30" s="36"/>
      <c r="F30" s="36"/>
      <c r="G30" s="36"/>
      <c r="H30" s="36"/>
      <c r="I30" s="36"/>
      <c r="J30" s="36"/>
      <c r="K30" s="36"/>
      <c r="L30" s="36"/>
      <c r="M30" s="36"/>
      <c r="N30" s="36"/>
      <c r="O30" s="36"/>
      <c r="P30" s="36"/>
      <c r="Q30" s="36"/>
      <c r="R30" s="36"/>
      <c r="S30" s="36"/>
      <c r="T30" s="36"/>
      <c r="U30" s="36"/>
      <c r="V30" s="36"/>
      <c r="W30" s="36"/>
      <c r="X30" s="36"/>
      <c r="Y30" s="36"/>
      <c r="Z30" s="183"/>
    </row>
    <row r="31" spans="1:26" ht="15" thickBot="1">
      <c r="A31" s="204" t="s">
        <v>35</v>
      </c>
      <c r="B31" s="213"/>
      <c r="C31" s="213"/>
      <c r="D31" s="206" t="s">
        <v>1</v>
      </c>
      <c r="E31" s="36">
        <v>2000</v>
      </c>
      <c r="F31" s="36">
        <v>0</v>
      </c>
      <c r="G31" s="36">
        <v>0</v>
      </c>
      <c r="H31" s="36">
        <v>0</v>
      </c>
      <c r="I31" s="36">
        <v>0</v>
      </c>
      <c r="J31" s="36">
        <v>0</v>
      </c>
      <c r="K31" s="36">
        <v>0</v>
      </c>
      <c r="L31" s="36">
        <v>0</v>
      </c>
      <c r="M31" s="36">
        <v>0</v>
      </c>
      <c r="N31" s="36">
        <v>0</v>
      </c>
      <c r="O31" s="36">
        <v>0</v>
      </c>
      <c r="P31" s="36">
        <v>0</v>
      </c>
      <c r="Q31" s="36">
        <v>0</v>
      </c>
      <c r="R31" s="36">
        <v>0</v>
      </c>
      <c r="S31" s="36">
        <v>0</v>
      </c>
      <c r="T31" s="36">
        <v>0</v>
      </c>
      <c r="U31" s="36">
        <v>0</v>
      </c>
      <c r="V31" s="36">
        <v>0</v>
      </c>
      <c r="W31" s="36">
        <v>0</v>
      </c>
      <c r="X31" s="36">
        <v>0</v>
      </c>
      <c r="Y31" s="36">
        <v>0</v>
      </c>
      <c r="Z31" s="183"/>
    </row>
    <row r="32" spans="1:26" ht="15" thickBot="1">
      <c r="A32" s="204" t="s">
        <v>63</v>
      </c>
      <c r="B32" s="213"/>
      <c r="C32" s="213"/>
      <c r="D32" s="206" t="s">
        <v>1</v>
      </c>
      <c r="E32" s="36">
        <v>0</v>
      </c>
      <c r="F32" s="36">
        <v>200</v>
      </c>
      <c r="G32" s="36">
        <v>200</v>
      </c>
      <c r="H32" s="36">
        <v>200</v>
      </c>
      <c r="I32" s="36">
        <v>200</v>
      </c>
      <c r="J32" s="36">
        <v>200</v>
      </c>
      <c r="K32" s="36">
        <v>200</v>
      </c>
      <c r="L32" s="36">
        <v>200</v>
      </c>
      <c r="M32" s="36">
        <v>200</v>
      </c>
      <c r="N32" s="36">
        <v>200</v>
      </c>
      <c r="O32" s="36">
        <v>200</v>
      </c>
      <c r="P32" s="36">
        <v>200</v>
      </c>
      <c r="Q32" s="36">
        <v>200</v>
      </c>
      <c r="R32" s="36">
        <v>200</v>
      </c>
      <c r="S32" s="36">
        <v>200</v>
      </c>
      <c r="T32" s="36">
        <v>200</v>
      </c>
      <c r="U32" s="36">
        <v>200</v>
      </c>
      <c r="V32" s="36">
        <v>200</v>
      </c>
      <c r="W32" s="36">
        <v>200</v>
      </c>
      <c r="X32" s="36">
        <v>200</v>
      </c>
      <c r="Y32" s="36">
        <v>200</v>
      </c>
      <c r="Z32" s="183"/>
    </row>
    <row r="33" spans="1:26" ht="15" thickBot="1">
      <c r="A33" s="209" t="s">
        <v>64</v>
      </c>
      <c r="B33" s="210"/>
      <c r="C33" s="210"/>
      <c r="D33" s="206" t="s">
        <v>1</v>
      </c>
      <c r="E33" s="36">
        <v>2000</v>
      </c>
      <c r="F33" s="36">
        <v>200</v>
      </c>
      <c r="G33" s="36">
        <v>200</v>
      </c>
      <c r="H33" s="36">
        <v>200</v>
      </c>
      <c r="I33" s="36">
        <v>200</v>
      </c>
      <c r="J33" s="36">
        <v>200</v>
      </c>
      <c r="K33" s="36">
        <v>200</v>
      </c>
      <c r="L33" s="36">
        <v>200</v>
      </c>
      <c r="M33" s="36">
        <v>200</v>
      </c>
      <c r="N33" s="36">
        <v>200</v>
      </c>
      <c r="O33" s="36">
        <v>200</v>
      </c>
      <c r="P33" s="36">
        <v>200</v>
      </c>
      <c r="Q33" s="36">
        <v>200</v>
      </c>
      <c r="R33" s="36">
        <v>200</v>
      </c>
      <c r="S33" s="36">
        <v>200</v>
      </c>
      <c r="T33" s="36">
        <v>200</v>
      </c>
      <c r="U33" s="36">
        <v>200</v>
      </c>
      <c r="V33" s="36">
        <v>200</v>
      </c>
      <c r="W33" s="36">
        <v>200</v>
      </c>
      <c r="X33" s="36">
        <v>200</v>
      </c>
      <c r="Y33" s="36">
        <v>200</v>
      </c>
      <c r="Z33" s="183"/>
    </row>
    <row r="34" spans="1:26" ht="15" thickBot="1">
      <c r="A34" s="214" t="s">
        <v>65</v>
      </c>
      <c r="B34" s="210"/>
      <c r="C34" s="210"/>
      <c r="D34" s="206" t="s">
        <v>1</v>
      </c>
      <c r="E34" s="36">
        <v>-1962.56</v>
      </c>
      <c r="F34" s="36">
        <v>15020.256326530614</v>
      </c>
      <c r="G34" s="36">
        <v>15020.256326530614</v>
      </c>
      <c r="H34" s="36">
        <v>15020.256326530614</v>
      </c>
      <c r="I34" s="36">
        <v>15020.256326530614</v>
      </c>
      <c r="J34" s="36">
        <v>15020.256326530614</v>
      </c>
      <c r="K34" s="36">
        <v>15020.256326530614</v>
      </c>
      <c r="L34" s="36">
        <v>15020.256326530614</v>
      </c>
      <c r="M34" s="36">
        <v>15020.256326530614</v>
      </c>
      <c r="N34" s="36">
        <v>15020.256326530614</v>
      </c>
      <c r="O34" s="36">
        <v>15020.256326530614</v>
      </c>
      <c r="P34" s="36">
        <v>15020.256326530614</v>
      </c>
      <c r="Q34" s="36">
        <v>15020.256326530614</v>
      </c>
      <c r="R34" s="36">
        <v>15020.256326530614</v>
      </c>
      <c r="S34" s="36">
        <v>15020.256326530614</v>
      </c>
      <c r="T34" s="36">
        <v>15020.256326530614</v>
      </c>
      <c r="U34" s="36">
        <v>15020.256326530614</v>
      </c>
      <c r="V34" s="36">
        <v>15020.256326530614</v>
      </c>
      <c r="W34" s="36">
        <v>15020.256326530614</v>
      </c>
      <c r="X34" s="36">
        <v>15020.256326530614</v>
      </c>
      <c r="Y34" s="36">
        <v>15020.256326530614</v>
      </c>
      <c r="Z34" s="183"/>
    </row>
    <row r="35" spans="1:26" ht="15" thickBot="1">
      <c r="A35" s="243"/>
      <c r="B35" s="244"/>
      <c r="C35" s="244"/>
      <c r="D35" s="244"/>
      <c r="E35" s="245"/>
      <c r="F35" s="245"/>
      <c r="G35" s="245"/>
      <c r="H35" s="245"/>
      <c r="I35" s="246"/>
      <c r="J35" s="246"/>
      <c r="K35" s="246"/>
      <c r="L35" s="246"/>
      <c r="M35" s="246"/>
      <c r="N35" s="246"/>
      <c r="O35" s="246"/>
      <c r="P35" s="246"/>
      <c r="Q35" s="246"/>
      <c r="R35" s="246"/>
      <c r="S35" s="246"/>
      <c r="T35" s="246"/>
      <c r="U35" s="246"/>
      <c r="V35" s="246"/>
      <c r="W35" s="246"/>
      <c r="X35" s="247"/>
      <c r="Y35" s="248"/>
      <c r="Z35" s="183"/>
    </row>
    <row r="36" spans="1:26" ht="15" thickBot="1">
      <c r="A36" s="331" t="s">
        <v>86</v>
      </c>
      <c r="B36" s="332"/>
      <c r="C36" s="332"/>
      <c r="D36" s="333"/>
      <c r="E36" s="249"/>
      <c r="F36" s="250"/>
      <c r="G36" s="250"/>
      <c r="H36" s="250"/>
      <c r="I36" s="250"/>
      <c r="J36" s="250"/>
      <c r="K36" s="250"/>
      <c r="L36" s="250"/>
      <c r="M36" s="250"/>
      <c r="N36" s="250"/>
      <c r="O36" s="250"/>
      <c r="P36" s="250"/>
      <c r="Q36" s="250"/>
      <c r="R36" s="250"/>
      <c r="S36" s="250"/>
      <c r="T36" s="250"/>
      <c r="U36" s="250"/>
      <c r="V36" s="250"/>
      <c r="W36" s="250"/>
      <c r="X36" s="251"/>
      <c r="Y36" s="252"/>
      <c r="Z36" s="183"/>
    </row>
    <row r="37" spans="1:26" ht="15" thickBot="1">
      <c r="A37" s="349" t="s">
        <v>10</v>
      </c>
      <c r="B37" s="350"/>
      <c r="C37" s="351"/>
      <c r="D37" s="94">
        <v>8.5000000000000006E-2</v>
      </c>
      <c r="E37" s="253"/>
      <c r="F37" s="254"/>
      <c r="G37" s="254"/>
      <c r="H37" s="254"/>
      <c r="I37" s="254"/>
      <c r="J37" s="254"/>
      <c r="K37" s="254"/>
      <c r="L37" s="254"/>
      <c r="M37" s="254"/>
      <c r="N37" s="254"/>
      <c r="O37" s="254"/>
      <c r="P37" s="254"/>
      <c r="Q37" s="254"/>
      <c r="R37" s="254"/>
      <c r="S37" s="254"/>
      <c r="T37" s="254"/>
      <c r="U37" s="254"/>
      <c r="V37" s="254"/>
      <c r="W37" s="254"/>
      <c r="X37" s="255"/>
      <c r="Y37" s="256"/>
      <c r="Z37" s="183"/>
    </row>
    <row r="38" spans="1:26" ht="15" thickBot="1">
      <c r="A38" s="337" t="s">
        <v>23</v>
      </c>
      <c r="B38" s="352"/>
      <c r="C38" s="352"/>
      <c r="D38" s="339"/>
      <c r="E38" s="257"/>
      <c r="F38" s="254"/>
      <c r="G38" s="254"/>
      <c r="H38" s="254"/>
      <c r="I38" s="254"/>
      <c r="J38" s="254"/>
      <c r="K38" s="254"/>
      <c r="L38" s="254"/>
      <c r="M38" s="254"/>
      <c r="N38" s="254"/>
      <c r="O38" s="254"/>
      <c r="P38" s="254"/>
      <c r="Q38" s="254"/>
      <c r="R38" s="254"/>
      <c r="S38" s="254"/>
      <c r="T38" s="254"/>
      <c r="U38" s="254"/>
      <c r="V38" s="254"/>
      <c r="W38" s="254"/>
      <c r="X38" s="255"/>
      <c r="Y38" s="256"/>
      <c r="Z38" s="183"/>
    </row>
    <row r="39" spans="1:26" ht="15" thickBot="1">
      <c r="A39" s="353" t="s">
        <v>67</v>
      </c>
      <c r="B39" s="354"/>
      <c r="C39" s="355"/>
      <c r="D39" s="258">
        <v>129197.40235053391</v>
      </c>
      <c r="E39" s="259" t="s">
        <v>1</v>
      </c>
      <c r="F39" s="254"/>
      <c r="G39" s="254"/>
      <c r="H39" s="254"/>
      <c r="I39" s="254"/>
      <c r="J39" s="254"/>
      <c r="K39" s="254"/>
      <c r="L39" s="254"/>
      <c r="M39" s="254"/>
      <c r="N39" s="254"/>
      <c r="O39" s="254"/>
      <c r="P39" s="254"/>
      <c r="Q39" s="254"/>
      <c r="R39" s="254"/>
      <c r="S39" s="254"/>
      <c r="T39" s="254"/>
      <c r="U39" s="254"/>
      <c r="V39" s="254"/>
      <c r="W39" s="254"/>
      <c r="X39" s="255"/>
      <c r="Y39" s="256"/>
      <c r="Z39" s="183"/>
    </row>
    <row r="40" spans="1:26" ht="15" thickBot="1">
      <c r="A40" s="353" t="s">
        <v>68</v>
      </c>
      <c r="B40" s="354"/>
      <c r="C40" s="355"/>
      <c r="D40" s="96">
        <v>7.6533998076647931</v>
      </c>
      <c r="E40" s="257" t="s">
        <v>24</v>
      </c>
      <c r="F40" s="254"/>
      <c r="G40" s="254"/>
      <c r="H40" s="254"/>
      <c r="I40" s="254"/>
      <c r="J40" s="254"/>
      <c r="K40" s="254"/>
      <c r="L40" s="254"/>
      <c r="M40" s="254"/>
      <c r="N40" s="254"/>
      <c r="O40" s="254"/>
      <c r="P40" s="254"/>
      <c r="Q40" s="254"/>
      <c r="R40" s="254"/>
      <c r="S40" s="254"/>
      <c r="T40" s="254"/>
      <c r="U40" s="254"/>
      <c r="V40" s="254"/>
      <c r="W40" s="254"/>
      <c r="X40" s="255"/>
      <c r="Y40" s="256"/>
      <c r="Z40" s="183"/>
    </row>
    <row r="41" spans="1:26" s="265" customFormat="1" ht="15" thickBot="1">
      <c r="A41" s="346" t="s">
        <v>69</v>
      </c>
      <c r="B41" s="347"/>
      <c r="C41" s="348"/>
      <c r="D41" s="97">
        <v>0.34407861917998783</v>
      </c>
      <c r="E41" s="260" t="s">
        <v>24</v>
      </c>
      <c r="F41" s="261"/>
      <c r="G41" s="261"/>
      <c r="H41" s="261"/>
      <c r="I41" s="261"/>
      <c r="J41" s="261"/>
      <c r="K41" s="261"/>
      <c r="L41" s="261"/>
      <c r="M41" s="261"/>
      <c r="N41" s="261"/>
      <c r="O41" s="261"/>
      <c r="P41" s="261"/>
      <c r="Q41" s="261"/>
      <c r="R41" s="261"/>
      <c r="S41" s="261"/>
      <c r="T41" s="261"/>
      <c r="U41" s="261"/>
      <c r="V41" s="261"/>
      <c r="W41" s="261"/>
      <c r="X41" s="262"/>
      <c r="Y41" s="263"/>
      <c r="Z41" s="264"/>
    </row>
    <row r="42" spans="1:26" s="269" customFormat="1" ht="15" thickBot="1">
      <c r="A42" s="266"/>
      <c r="B42" s="267"/>
      <c r="C42" s="267"/>
      <c r="D42" s="250"/>
      <c r="E42" s="254"/>
      <c r="F42" s="254"/>
      <c r="G42" s="254"/>
      <c r="H42" s="254"/>
      <c r="I42" s="254"/>
      <c r="J42" s="254"/>
      <c r="K42" s="254"/>
      <c r="L42" s="254"/>
      <c r="M42" s="254"/>
      <c r="N42" s="254"/>
      <c r="O42" s="254"/>
      <c r="P42" s="254"/>
      <c r="Q42" s="254"/>
      <c r="R42" s="254"/>
      <c r="S42" s="254"/>
      <c r="T42" s="254"/>
      <c r="U42" s="254"/>
      <c r="V42" s="254"/>
      <c r="W42" s="254"/>
      <c r="X42" s="254"/>
      <c r="Y42" s="256"/>
      <c r="Z42" s="268"/>
    </row>
    <row r="43" spans="1:26" ht="27" customHeight="1" thickBot="1">
      <c r="A43" s="328" t="s">
        <v>71</v>
      </c>
      <c r="B43" s="329"/>
      <c r="C43" s="329"/>
      <c r="D43" s="329"/>
      <c r="E43" s="329"/>
      <c r="F43" s="329"/>
      <c r="G43" s="329"/>
      <c r="H43" s="329"/>
      <c r="I43" s="329"/>
      <c r="J43" s="329"/>
      <c r="K43" s="329"/>
      <c r="L43" s="329"/>
      <c r="M43" s="329"/>
      <c r="N43" s="329"/>
      <c r="O43" s="329"/>
      <c r="P43" s="329"/>
      <c r="Q43" s="329"/>
      <c r="R43" s="329"/>
      <c r="S43" s="329"/>
      <c r="T43" s="329"/>
      <c r="U43" s="329"/>
      <c r="V43" s="329"/>
      <c r="W43" s="329"/>
      <c r="X43" s="329"/>
      <c r="Y43" s="330"/>
      <c r="Z43" s="183"/>
    </row>
    <row r="44" spans="1:26" ht="25.9" customHeight="1">
      <c r="A44" s="240"/>
      <c r="B44" s="195" t="s">
        <v>54</v>
      </c>
      <c r="C44" s="196" t="s">
        <v>55</v>
      </c>
      <c r="D44" s="197" t="s">
        <v>56</v>
      </c>
      <c r="E44" s="196">
        <v>2023</v>
      </c>
      <c r="F44" s="196">
        <v>2024</v>
      </c>
      <c r="G44" s="196">
        <v>2025</v>
      </c>
      <c r="H44" s="196">
        <v>2026</v>
      </c>
      <c r="I44" s="196">
        <v>2027</v>
      </c>
      <c r="J44" s="196">
        <v>2028</v>
      </c>
      <c r="K44" s="196">
        <v>2029</v>
      </c>
      <c r="L44" s="196">
        <v>2030</v>
      </c>
      <c r="M44" s="196">
        <v>2031</v>
      </c>
      <c r="N44" s="196">
        <v>2032</v>
      </c>
      <c r="O44" s="196">
        <v>2033</v>
      </c>
      <c r="P44" s="196">
        <v>2034</v>
      </c>
      <c r="Q44" s="196">
        <v>2035</v>
      </c>
      <c r="R44" s="196">
        <v>2036</v>
      </c>
      <c r="S44" s="196">
        <v>2037</v>
      </c>
      <c r="T44" s="196">
        <v>2038</v>
      </c>
      <c r="U44" s="196">
        <v>2039</v>
      </c>
      <c r="V44" s="196">
        <v>2040</v>
      </c>
      <c r="W44" s="196">
        <v>2041</v>
      </c>
      <c r="X44" s="196">
        <v>2042</v>
      </c>
      <c r="Y44" s="198">
        <v>2043</v>
      </c>
      <c r="Z44" s="183"/>
    </row>
    <row r="45" spans="1:26">
      <c r="A45" s="194" t="s">
        <v>72</v>
      </c>
      <c r="B45" s="270"/>
      <c r="C45" s="212"/>
      <c r="D45" s="212"/>
      <c r="E45" s="271">
        <v>108</v>
      </c>
      <c r="F45" s="271">
        <v>216</v>
      </c>
      <c r="G45" s="271">
        <v>324</v>
      </c>
      <c r="H45" s="271">
        <v>432</v>
      </c>
      <c r="I45" s="271">
        <v>540</v>
      </c>
      <c r="J45" s="271">
        <v>540</v>
      </c>
      <c r="K45" s="271">
        <v>540</v>
      </c>
      <c r="L45" s="271">
        <v>540</v>
      </c>
      <c r="M45" s="271">
        <v>540</v>
      </c>
      <c r="N45" s="271">
        <v>540</v>
      </c>
      <c r="O45" s="271">
        <v>540</v>
      </c>
      <c r="P45" s="271">
        <v>540</v>
      </c>
      <c r="Q45" s="271">
        <v>540</v>
      </c>
      <c r="R45" s="271">
        <v>540</v>
      </c>
      <c r="S45" s="271">
        <v>540</v>
      </c>
      <c r="T45" s="271">
        <v>540</v>
      </c>
      <c r="U45" s="271">
        <v>540</v>
      </c>
      <c r="V45" s="271">
        <v>540</v>
      </c>
      <c r="W45" s="271">
        <v>540</v>
      </c>
      <c r="X45" s="271">
        <v>540</v>
      </c>
      <c r="Y45" s="271">
        <v>540</v>
      </c>
      <c r="Z45" s="183"/>
    </row>
    <row r="46" spans="1:26" ht="15" thickBot="1">
      <c r="A46" s="199" t="s">
        <v>57</v>
      </c>
      <c r="B46" s="200"/>
      <c r="C46" s="200"/>
      <c r="D46" s="196"/>
      <c r="E46" s="213"/>
      <c r="F46" s="200"/>
      <c r="G46" s="200"/>
      <c r="H46" s="200"/>
      <c r="I46" s="200"/>
      <c r="J46" s="200"/>
      <c r="K46" s="200"/>
      <c r="L46" s="200"/>
      <c r="M46" s="200"/>
      <c r="N46" s="200"/>
      <c r="O46" s="200"/>
      <c r="P46" s="200"/>
      <c r="Q46" s="200"/>
      <c r="R46" s="200"/>
      <c r="S46" s="200"/>
      <c r="T46" s="200"/>
      <c r="U46" s="200"/>
      <c r="V46" s="200"/>
      <c r="W46" s="200"/>
      <c r="X46" s="241"/>
      <c r="Y46" s="242"/>
      <c r="Z46" s="183"/>
    </row>
    <row r="47" spans="1:26" ht="15" thickBot="1">
      <c r="A47" s="204" t="s">
        <v>58</v>
      </c>
      <c r="B47" s="205" t="s">
        <v>59</v>
      </c>
      <c r="C47" s="208"/>
      <c r="D47" s="206" t="s">
        <v>1</v>
      </c>
      <c r="E47" s="36">
        <v>4043.5199999999995</v>
      </c>
      <c r="F47" s="36">
        <v>8087.0399999999991</v>
      </c>
      <c r="G47" s="36">
        <v>12130.56</v>
      </c>
      <c r="H47" s="36">
        <v>16174.079999999998</v>
      </c>
      <c r="I47" s="36">
        <v>20217.599999999999</v>
      </c>
      <c r="J47" s="36">
        <v>20217.599999999999</v>
      </c>
      <c r="K47" s="36">
        <v>20217.599999999999</v>
      </c>
      <c r="L47" s="36">
        <v>20217.599999999999</v>
      </c>
      <c r="M47" s="36">
        <v>20217.599999999999</v>
      </c>
      <c r="N47" s="36">
        <v>20217.599999999999</v>
      </c>
      <c r="O47" s="36">
        <v>20217.599999999999</v>
      </c>
      <c r="P47" s="36">
        <v>20217.599999999999</v>
      </c>
      <c r="Q47" s="36">
        <v>20217.599999999999</v>
      </c>
      <c r="R47" s="36">
        <v>20217.599999999999</v>
      </c>
      <c r="S47" s="36">
        <v>20217.599999999999</v>
      </c>
      <c r="T47" s="36">
        <v>20217.599999999999</v>
      </c>
      <c r="U47" s="36">
        <v>20217.599999999999</v>
      </c>
      <c r="V47" s="36">
        <v>20217.599999999999</v>
      </c>
      <c r="W47" s="36">
        <v>20217.599999999999</v>
      </c>
      <c r="X47" s="36">
        <v>20217.599999999999</v>
      </c>
      <c r="Y47" s="36">
        <v>20217.599999999999</v>
      </c>
      <c r="Z47" s="183"/>
    </row>
    <row r="48" spans="1:26" ht="15" thickBot="1">
      <c r="A48" s="204" t="s">
        <v>87</v>
      </c>
      <c r="B48" s="205" t="s">
        <v>73</v>
      </c>
      <c r="C48" s="208"/>
      <c r="D48" s="206" t="s">
        <v>1</v>
      </c>
      <c r="E48" s="36">
        <v>0</v>
      </c>
      <c r="F48" s="36">
        <v>3279488.3265306125</v>
      </c>
      <c r="G48" s="36">
        <v>4919232.4897959186</v>
      </c>
      <c r="H48" s="36">
        <v>6558976.6530612251</v>
      </c>
      <c r="I48" s="36">
        <v>8198720.8163265316</v>
      </c>
      <c r="J48" s="36">
        <v>8198720.8163265316</v>
      </c>
      <c r="K48" s="36">
        <v>8198720.8163265316</v>
      </c>
      <c r="L48" s="36">
        <v>8198720.8163265316</v>
      </c>
      <c r="M48" s="36">
        <v>8198720.8163265316</v>
      </c>
      <c r="N48" s="36">
        <v>8198720.8163265316</v>
      </c>
      <c r="O48" s="36">
        <v>8198720.8163265316</v>
      </c>
      <c r="P48" s="36">
        <v>8198720.8163265316</v>
      </c>
      <c r="Q48" s="36">
        <v>8198720.8163265316</v>
      </c>
      <c r="R48" s="36">
        <v>8198720.8163265316</v>
      </c>
      <c r="S48" s="36">
        <v>8198720.8163265316</v>
      </c>
      <c r="T48" s="36">
        <v>8198720.8163265316</v>
      </c>
      <c r="U48" s="36">
        <v>8198720.8163265316</v>
      </c>
      <c r="V48" s="36">
        <v>8198720.8163265316</v>
      </c>
      <c r="W48" s="36">
        <v>8198720.8163265316</v>
      </c>
      <c r="X48" s="36">
        <v>8198720.8163265316</v>
      </c>
      <c r="Y48" s="36">
        <v>8198720.8163265316</v>
      </c>
      <c r="Z48" s="183"/>
    </row>
    <row r="49" spans="1:26" ht="15" thickBot="1">
      <c r="A49" s="209" t="s">
        <v>61</v>
      </c>
      <c r="B49" s="210"/>
      <c r="C49" s="210"/>
      <c r="D49" s="206" t="s">
        <v>1</v>
      </c>
      <c r="E49" s="36">
        <v>4043.5199999999995</v>
      </c>
      <c r="F49" s="36">
        <v>3287575.3665306126</v>
      </c>
      <c r="G49" s="36">
        <v>4931363.0497959182</v>
      </c>
      <c r="H49" s="36">
        <v>6575150.7330612252</v>
      </c>
      <c r="I49" s="36">
        <v>8218938.4163265312</v>
      </c>
      <c r="J49" s="36">
        <v>8218938.4163265312</v>
      </c>
      <c r="K49" s="36">
        <v>8218938.4163265312</v>
      </c>
      <c r="L49" s="36">
        <v>8218938.4163265312</v>
      </c>
      <c r="M49" s="36">
        <v>8218938.4163265312</v>
      </c>
      <c r="N49" s="36">
        <v>8218938.4163265312</v>
      </c>
      <c r="O49" s="36">
        <v>8218938.4163265312</v>
      </c>
      <c r="P49" s="36">
        <v>8218938.4163265312</v>
      </c>
      <c r="Q49" s="36">
        <v>8218938.4163265312</v>
      </c>
      <c r="R49" s="36">
        <v>8218938.4163265312</v>
      </c>
      <c r="S49" s="36">
        <v>8218938.4163265312</v>
      </c>
      <c r="T49" s="36">
        <v>8218938.4163265312</v>
      </c>
      <c r="U49" s="36">
        <v>8218938.4163265312</v>
      </c>
      <c r="V49" s="36">
        <v>8218938.4163265312</v>
      </c>
      <c r="W49" s="36">
        <v>8218938.4163265312</v>
      </c>
      <c r="X49" s="36">
        <v>8218938.4163265312</v>
      </c>
      <c r="Y49" s="36">
        <v>8218938.4163265312</v>
      </c>
      <c r="Z49" s="183"/>
    </row>
    <row r="50" spans="1:26" ht="15" thickBot="1">
      <c r="A50" s="199" t="s">
        <v>62</v>
      </c>
      <c r="B50" s="211"/>
      <c r="C50" s="211"/>
      <c r="D50" s="212"/>
      <c r="E50" s="36"/>
      <c r="F50" s="36"/>
      <c r="G50" s="36"/>
      <c r="H50" s="36"/>
      <c r="I50" s="36"/>
      <c r="J50" s="36"/>
      <c r="K50" s="36"/>
      <c r="L50" s="36"/>
      <c r="M50" s="36"/>
      <c r="N50" s="36"/>
      <c r="O50" s="36"/>
      <c r="P50" s="36"/>
      <c r="Q50" s="36"/>
      <c r="R50" s="36"/>
      <c r="S50" s="36"/>
      <c r="T50" s="36"/>
      <c r="U50" s="36"/>
      <c r="V50" s="36"/>
      <c r="W50" s="36"/>
      <c r="X50" s="36"/>
      <c r="Y50" s="36"/>
      <c r="Z50" s="183"/>
    </row>
    <row r="51" spans="1:26" ht="15" thickBot="1">
      <c r="A51" s="204" t="s">
        <v>35</v>
      </c>
      <c r="B51" s="213"/>
      <c r="C51" s="213"/>
      <c r="D51" s="206" t="s">
        <v>1</v>
      </c>
      <c r="E51" s="36">
        <v>216000</v>
      </c>
      <c r="F51" s="36">
        <v>216000</v>
      </c>
      <c r="G51" s="36">
        <v>216000</v>
      </c>
      <c r="H51" s="36">
        <v>216000</v>
      </c>
      <c r="I51" s="36">
        <v>216000</v>
      </c>
      <c r="J51" s="36"/>
      <c r="K51" s="36"/>
      <c r="L51" s="36"/>
      <c r="M51" s="36"/>
      <c r="N51" s="36"/>
      <c r="O51" s="36"/>
      <c r="P51" s="36"/>
      <c r="Q51" s="36"/>
      <c r="R51" s="36"/>
      <c r="S51" s="36"/>
      <c r="T51" s="36"/>
      <c r="U51" s="36"/>
      <c r="V51" s="36"/>
      <c r="W51" s="36"/>
      <c r="X51" s="36"/>
      <c r="Y51" s="36"/>
      <c r="Z51" s="183"/>
    </row>
    <row r="52" spans="1:26" ht="15" thickBot="1">
      <c r="A52" s="204" t="s">
        <v>63</v>
      </c>
      <c r="B52" s="213"/>
      <c r="C52" s="213"/>
      <c r="D52" s="206" t="s">
        <v>1</v>
      </c>
      <c r="E52" s="36">
        <v>0</v>
      </c>
      <c r="F52" s="36">
        <v>43200</v>
      </c>
      <c r="G52" s="36">
        <v>64800</v>
      </c>
      <c r="H52" s="36">
        <v>86400</v>
      </c>
      <c r="I52" s="36">
        <v>108000</v>
      </c>
      <c r="J52" s="36">
        <v>108000</v>
      </c>
      <c r="K52" s="36">
        <v>108000</v>
      </c>
      <c r="L52" s="36">
        <v>108000</v>
      </c>
      <c r="M52" s="36">
        <v>108000</v>
      </c>
      <c r="N52" s="36">
        <v>108000</v>
      </c>
      <c r="O52" s="36">
        <v>108000</v>
      </c>
      <c r="P52" s="36">
        <v>108000</v>
      </c>
      <c r="Q52" s="36">
        <v>108000</v>
      </c>
      <c r="R52" s="36">
        <v>108000</v>
      </c>
      <c r="S52" s="36">
        <v>108000</v>
      </c>
      <c r="T52" s="36">
        <v>108000</v>
      </c>
      <c r="U52" s="36">
        <v>108000</v>
      </c>
      <c r="V52" s="36">
        <v>108000</v>
      </c>
      <c r="W52" s="36">
        <v>108000</v>
      </c>
      <c r="X52" s="36">
        <v>108000</v>
      </c>
      <c r="Y52" s="36">
        <v>108000</v>
      </c>
      <c r="Z52" s="183"/>
    </row>
    <row r="53" spans="1:26" ht="15" thickBot="1">
      <c r="A53" s="209" t="s">
        <v>64</v>
      </c>
      <c r="B53" s="210"/>
      <c r="C53" s="210"/>
      <c r="D53" s="206" t="s">
        <v>1</v>
      </c>
      <c r="E53" s="36">
        <v>216000</v>
      </c>
      <c r="F53" s="36">
        <v>259200</v>
      </c>
      <c r="G53" s="36">
        <v>280800</v>
      </c>
      <c r="H53" s="36">
        <v>302400</v>
      </c>
      <c r="I53" s="36">
        <v>324000</v>
      </c>
      <c r="J53" s="36">
        <v>108000</v>
      </c>
      <c r="K53" s="36">
        <v>108000</v>
      </c>
      <c r="L53" s="36">
        <v>108000</v>
      </c>
      <c r="M53" s="36">
        <v>108000</v>
      </c>
      <c r="N53" s="36">
        <v>108000</v>
      </c>
      <c r="O53" s="36">
        <v>108000</v>
      </c>
      <c r="P53" s="36">
        <v>108000</v>
      </c>
      <c r="Q53" s="36">
        <v>108000</v>
      </c>
      <c r="R53" s="36">
        <v>108000</v>
      </c>
      <c r="S53" s="36">
        <v>108000</v>
      </c>
      <c r="T53" s="36">
        <v>108000</v>
      </c>
      <c r="U53" s="36">
        <v>108000</v>
      </c>
      <c r="V53" s="36">
        <v>108000</v>
      </c>
      <c r="W53" s="36">
        <v>108000</v>
      </c>
      <c r="X53" s="36">
        <v>108000</v>
      </c>
      <c r="Y53" s="36">
        <v>108000</v>
      </c>
      <c r="Z53" s="183"/>
    </row>
    <row r="54" spans="1:26" ht="15" thickBot="1">
      <c r="A54" s="214" t="s">
        <v>65</v>
      </c>
      <c r="B54" s="210"/>
      <c r="C54" s="210"/>
      <c r="D54" s="206" t="s">
        <v>1</v>
      </c>
      <c r="E54" s="36">
        <v>-211956.48000000001</v>
      </c>
      <c r="F54" s="36">
        <v>3028375.3665306126</v>
      </c>
      <c r="G54" s="36">
        <v>4650563.0497959182</v>
      </c>
      <c r="H54" s="36">
        <v>6272750.7330612252</v>
      </c>
      <c r="I54" s="36">
        <v>7894938.4163265312</v>
      </c>
      <c r="J54" s="36">
        <v>8110938.4163265312</v>
      </c>
      <c r="K54" s="36">
        <v>8110938.4163265312</v>
      </c>
      <c r="L54" s="36">
        <v>8110938.4163265312</v>
      </c>
      <c r="M54" s="36">
        <v>8110938.4163265312</v>
      </c>
      <c r="N54" s="36">
        <v>8110938.4163265312</v>
      </c>
      <c r="O54" s="36">
        <v>8110938.4163265312</v>
      </c>
      <c r="P54" s="36">
        <v>8110938.4163265312</v>
      </c>
      <c r="Q54" s="36">
        <v>8110938.4163265312</v>
      </c>
      <c r="R54" s="36">
        <v>8110938.4163265312</v>
      </c>
      <c r="S54" s="36">
        <v>8110938.4163265312</v>
      </c>
      <c r="T54" s="36">
        <v>8110938.4163265312</v>
      </c>
      <c r="U54" s="36">
        <v>8110938.4163265312</v>
      </c>
      <c r="V54" s="36">
        <v>8110938.4163265312</v>
      </c>
      <c r="W54" s="36">
        <v>8110938.4163265312</v>
      </c>
      <c r="X54" s="36">
        <v>8110938.4163265312</v>
      </c>
      <c r="Y54" s="36">
        <v>8110938.4163265312</v>
      </c>
      <c r="Z54" s="183"/>
    </row>
    <row r="55" spans="1:26" ht="15" thickBot="1">
      <c r="A55" s="243"/>
      <c r="B55" s="244"/>
      <c r="C55" s="244"/>
      <c r="D55" s="244"/>
      <c r="E55" s="245"/>
      <c r="F55" s="245"/>
      <c r="G55" s="245"/>
      <c r="H55" s="245"/>
      <c r="I55" s="245"/>
      <c r="J55" s="245"/>
      <c r="K55" s="245"/>
      <c r="L55" s="245"/>
      <c r="M55" s="245"/>
      <c r="N55" s="245"/>
      <c r="O55" s="245"/>
      <c r="P55" s="246"/>
      <c r="Q55" s="246"/>
      <c r="R55" s="246"/>
      <c r="S55" s="246"/>
      <c r="T55" s="246"/>
      <c r="U55" s="246"/>
      <c r="V55" s="246"/>
      <c r="W55" s="246"/>
      <c r="X55" s="247"/>
      <c r="Y55" s="248"/>
      <c r="Z55" s="183"/>
    </row>
    <row r="56" spans="1:26" ht="15" thickBot="1">
      <c r="A56" s="331" t="s">
        <v>74</v>
      </c>
      <c r="B56" s="332"/>
      <c r="C56" s="332"/>
      <c r="D56" s="333"/>
      <c r="E56" s="272"/>
      <c r="F56" s="273"/>
      <c r="G56" s="273"/>
      <c r="H56" s="273"/>
      <c r="I56" s="273"/>
      <c r="J56" s="273"/>
      <c r="K56" s="273"/>
      <c r="L56" s="273"/>
      <c r="M56" s="273"/>
      <c r="N56" s="273"/>
      <c r="O56" s="273"/>
      <c r="P56" s="250"/>
      <c r="Q56" s="250"/>
      <c r="R56" s="250"/>
      <c r="S56" s="250"/>
      <c r="T56" s="250"/>
      <c r="U56" s="250"/>
      <c r="V56" s="250"/>
      <c r="W56" s="250"/>
      <c r="X56" s="251"/>
      <c r="Y56" s="252"/>
      <c r="Z56" s="183"/>
    </row>
    <row r="57" spans="1:26" ht="15" thickBot="1">
      <c r="A57" s="349" t="s">
        <v>10</v>
      </c>
      <c r="B57" s="350"/>
      <c r="C57" s="351"/>
      <c r="D57" s="274">
        <v>8.5000000000000006E-2</v>
      </c>
      <c r="E57" s="275"/>
      <c r="F57" s="276"/>
      <c r="G57" s="276"/>
      <c r="H57" s="276"/>
      <c r="I57" s="276"/>
      <c r="J57" s="276"/>
      <c r="K57" s="276"/>
      <c r="L57" s="276"/>
      <c r="M57" s="276"/>
      <c r="N57" s="276"/>
      <c r="O57" s="276"/>
      <c r="P57" s="254"/>
      <c r="Q57" s="254"/>
      <c r="R57" s="254"/>
      <c r="S57" s="254"/>
      <c r="T57" s="254"/>
      <c r="U57" s="254"/>
      <c r="V57" s="254"/>
      <c r="W57" s="254"/>
      <c r="X57" s="255"/>
      <c r="Y57" s="256"/>
      <c r="Z57" s="183"/>
    </row>
    <row r="58" spans="1:26" ht="15" thickBot="1">
      <c r="A58" s="337" t="s">
        <v>23</v>
      </c>
      <c r="B58" s="352"/>
      <c r="C58" s="352"/>
      <c r="D58" s="339"/>
      <c r="E58" s="277"/>
      <c r="F58" s="276"/>
      <c r="G58" s="276"/>
      <c r="H58" s="276"/>
      <c r="I58" s="276"/>
      <c r="J58" s="276"/>
      <c r="K58" s="276"/>
      <c r="L58" s="276"/>
      <c r="M58" s="276"/>
      <c r="N58" s="276"/>
      <c r="O58" s="276"/>
      <c r="P58" s="254"/>
      <c r="Q58" s="254"/>
      <c r="R58" s="254"/>
      <c r="S58" s="254"/>
      <c r="T58" s="254"/>
      <c r="U58" s="254"/>
      <c r="V58" s="254"/>
      <c r="W58" s="254"/>
      <c r="X58" s="255"/>
      <c r="Y58" s="256"/>
      <c r="Z58" s="183"/>
    </row>
    <row r="59" spans="1:26" ht="15" thickBot="1">
      <c r="A59" s="353" t="s">
        <v>67</v>
      </c>
      <c r="B59" s="354"/>
      <c r="C59" s="355"/>
      <c r="D59" s="258">
        <v>62051398.922638878</v>
      </c>
      <c r="E59" s="259" t="s">
        <v>1</v>
      </c>
      <c r="F59" s="254"/>
      <c r="G59" s="254"/>
      <c r="H59" s="254"/>
      <c r="I59" s="254"/>
      <c r="J59" s="254"/>
      <c r="K59" s="254"/>
      <c r="L59" s="254"/>
      <c r="M59" s="254"/>
      <c r="N59" s="254"/>
      <c r="O59" s="254"/>
      <c r="P59" s="254"/>
      <c r="Q59" s="254"/>
      <c r="R59" s="254"/>
      <c r="S59" s="254"/>
      <c r="T59" s="254"/>
      <c r="U59" s="254"/>
      <c r="V59" s="254"/>
      <c r="W59" s="254"/>
      <c r="X59" s="255"/>
      <c r="Y59" s="256"/>
      <c r="Z59" s="183"/>
    </row>
    <row r="60" spans="1:26" ht="15" thickBot="1">
      <c r="A60" s="353" t="s">
        <v>68</v>
      </c>
      <c r="B60" s="354"/>
      <c r="C60" s="355"/>
      <c r="D60" s="96">
        <v>14.804569857559761</v>
      </c>
      <c r="E60" s="257" t="s">
        <v>24</v>
      </c>
      <c r="F60" s="254"/>
      <c r="G60" s="254"/>
      <c r="H60" s="254"/>
      <c r="I60" s="254"/>
      <c r="J60" s="254"/>
      <c r="K60" s="254"/>
      <c r="L60" s="254"/>
      <c r="M60" s="254"/>
      <c r="N60" s="254"/>
      <c r="O60" s="254"/>
      <c r="P60" s="254"/>
      <c r="Q60" s="254"/>
      <c r="R60" s="254"/>
      <c r="S60" s="254"/>
      <c r="T60" s="254"/>
      <c r="U60" s="254"/>
      <c r="V60" s="254"/>
      <c r="W60" s="254"/>
      <c r="X60" s="255"/>
      <c r="Y60" s="256"/>
      <c r="Z60" s="183"/>
    </row>
    <row r="61" spans="1:26" s="265" customFormat="1" ht="15" thickBot="1">
      <c r="A61" s="346" t="s">
        <v>69</v>
      </c>
      <c r="B61" s="347"/>
      <c r="C61" s="348"/>
      <c r="D61" s="97">
        <v>0.44742051701866403</v>
      </c>
      <c r="E61" s="260" t="s">
        <v>24</v>
      </c>
      <c r="F61" s="261"/>
      <c r="G61" s="261"/>
      <c r="H61" s="261"/>
      <c r="I61" s="261"/>
      <c r="J61" s="261"/>
      <c r="K61" s="261"/>
      <c r="L61" s="261"/>
      <c r="M61" s="261"/>
      <c r="N61" s="261"/>
      <c r="O61" s="261"/>
      <c r="P61" s="261"/>
      <c r="Q61" s="261"/>
      <c r="R61" s="261"/>
      <c r="S61" s="261"/>
      <c r="T61" s="261"/>
      <c r="U61" s="261"/>
      <c r="V61" s="261"/>
      <c r="W61" s="261"/>
      <c r="X61" s="262"/>
      <c r="Y61" s="263"/>
      <c r="Z61" s="264"/>
    </row>
    <row r="62" spans="1:26" s="269" customFormat="1" ht="15" thickBot="1">
      <c r="A62" s="266"/>
      <c r="B62" s="267"/>
      <c r="C62" s="267"/>
      <c r="D62" s="250"/>
      <c r="E62" s="254"/>
      <c r="F62" s="254"/>
      <c r="G62" s="254"/>
      <c r="H62" s="254"/>
      <c r="I62" s="254"/>
      <c r="J62" s="254"/>
      <c r="K62" s="254"/>
      <c r="L62" s="254"/>
      <c r="M62" s="254"/>
      <c r="N62" s="254"/>
      <c r="O62" s="254"/>
      <c r="P62" s="254"/>
      <c r="Q62" s="254"/>
      <c r="R62" s="254"/>
      <c r="S62" s="254"/>
      <c r="T62" s="254"/>
      <c r="U62" s="254"/>
      <c r="V62" s="254"/>
      <c r="W62" s="254"/>
      <c r="X62" s="254"/>
      <c r="Y62" s="256"/>
      <c r="Z62" s="268"/>
    </row>
    <row r="63" spans="1:26" s="269" customFormat="1" ht="15" thickBot="1">
      <c r="A63" s="278"/>
      <c r="B63" s="279"/>
      <c r="C63" s="279"/>
      <c r="D63" s="261"/>
      <c r="E63" s="261"/>
      <c r="F63" s="261"/>
      <c r="G63" s="261"/>
      <c r="H63" s="261"/>
      <c r="I63" s="261"/>
      <c r="J63" s="261"/>
      <c r="K63" s="261"/>
      <c r="L63" s="261"/>
      <c r="M63" s="261"/>
      <c r="N63" s="261"/>
      <c r="O63" s="261"/>
      <c r="P63" s="261"/>
      <c r="Q63" s="261"/>
      <c r="R63" s="261"/>
      <c r="S63" s="261"/>
      <c r="T63" s="261"/>
      <c r="U63" s="261"/>
      <c r="V63" s="261"/>
      <c r="W63" s="261"/>
      <c r="X63" s="261"/>
      <c r="Y63" s="263"/>
      <c r="Z63" s="268"/>
    </row>
    <row r="64" spans="1:26" s="281" customFormat="1" ht="27" customHeight="1" thickBot="1">
      <c r="A64" s="328" t="s">
        <v>75</v>
      </c>
      <c r="B64" s="329"/>
      <c r="C64" s="329"/>
      <c r="D64" s="329"/>
      <c r="E64" s="329"/>
      <c r="F64" s="329"/>
      <c r="G64" s="329"/>
      <c r="H64" s="329"/>
      <c r="I64" s="329"/>
      <c r="J64" s="329"/>
      <c r="K64" s="329"/>
      <c r="L64" s="329"/>
      <c r="M64" s="329"/>
      <c r="N64" s="329"/>
      <c r="O64" s="329"/>
      <c r="P64" s="329"/>
      <c r="Q64" s="329"/>
      <c r="R64" s="329"/>
      <c r="S64" s="329"/>
      <c r="T64" s="329"/>
      <c r="U64" s="329"/>
      <c r="V64" s="329"/>
      <c r="W64" s="329"/>
      <c r="X64" s="329"/>
      <c r="Y64" s="330"/>
      <c r="Z64" s="280"/>
    </row>
    <row r="65" spans="1:26" ht="27" customHeight="1" thickBot="1">
      <c r="A65" s="328" t="s">
        <v>76</v>
      </c>
      <c r="B65" s="329"/>
      <c r="C65" s="329"/>
      <c r="D65" s="329"/>
      <c r="E65" s="329"/>
      <c r="F65" s="329"/>
      <c r="G65" s="329"/>
      <c r="H65" s="329"/>
      <c r="I65" s="329"/>
      <c r="J65" s="329"/>
      <c r="K65" s="329"/>
      <c r="L65" s="329"/>
      <c r="M65" s="329"/>
      <c r="N65" s="329"/>
      <c r="O65" s="329"/>
      <c r="P65" s="329"/>
      <c r="Q65" s="329"/>
      <c r="R65" s="329"/>
      <c r="S65" s="329"/>
      <c r="T65" s="329"/>
      <c r="U65" s="329"/>
      <c r="V65" s="329"/>
      <c r="W65" s="329"/>
      <c r="X65" s="329"/>
      <c r="Y65" s="330"/>
      <c r="Z65" s="183"/>
    </row>
    <row r="66" spans="1:26">
      <c r="A66" s="282"/>
      <c r="B66" s="195" t="s">
        <v>54</v>
      </c>
      <c r="C66" s="196"/>
      <c r="D66" s="197" t="s">
        <v>56</v>
      </c>
      <c r="E66" s="196">
        <v>2023</v>
      </c>
      <c r="F66" s="196">
        <v>2024</v>
      </c>
      <c r="G66" s="196">
        <v>2025</v>
      </c>
      <c r="H66" s="196">
        <v>2026</v>
      </c>
      <c r="I66" s="196">
        <v>2027</v>
      </c>
      <c r="J66" s="196">
        <v>2028</v>
      </c>
      <c r="K66" s="196">
        <v>2029</v>
      </c>
      <c r="L66" s="196">
        <v>2030</v>
      </c>
      <c r="M66" s="196">
        <v>2031</v>
      </c>
      <c r="N66" s="196">
        <v>2032</v>
      </c>
      <c r="O66" s="196">
        <v>2033</v>
      </c>
      <c r="P66" s="196">
        <v>2034</v>
      </c>
      <c r="Q66" s="196">
        <v>2035</v>
      </c>
      <c r="R66" s="196">
        <v>2036</v>
      </c>
      <c r="S66" s="196">
        <v>2037</v>
      </c>
      <c r="T66" s="196">
        <v>2038</v>
      </c>
      <c r="U66" s="196">
        <v>2039</v>
      </c>
      <c r="V66" s="196">
        <v>2040</v>
      </c>
      <c r="W66" s="196">
        <v>2041</v>
      </c>
      <c r="X66" s="196">
        <v>2042</v>
      </c>
      <c r="Y66" s="198">
        <v>2043</v>
      </c>
      <c r="Z66" s="183"/>
    </row>
    <row r="67" spans="1:26">
      <c r="A67" s="194" t="s">
        <v>77</v>
      </c>
      <c r="B67" s="270"/>
      <c r="C67" s="212"/>
      <c r="D67" s="212"/>
      <c r="E67" s="212">
        <v>20</v>
      </c>
      <c r="F67" s="212">
        <v>19</v>
      </c>
      <c r="G67" s="212">
        <v>18</v>
      </c>
      <c r="H67" s="212">
        <v>17</v>
      </c>
      <c r="I67" s="212">
        <v>16</v>
      </c>
      <c r="J67" s="212">
        <v>15</v>
      </c>
      <c r="K67" s="212">
        <v>14</v>
      </c>
      <c r="L67" s="212">
        <v>13</v>
      </c>
      <c r="M67" s="212">
        <v>12</v>
      </c>
      <c r="N67" s="212">
        <v>11</v>
      </c>
      <c r="O67" s="212">
        <v>10</v>
      </c>
      <c r="P67" s="212">
        <v>9</v>
      </c>
      <c r="Q67" s="212">
        <v>8</v>
      </c>
      <c r="R67" s="212">
        <v>7</v>
      </c>
      <c r="S67" s="212">
        <v>6</v>
      </c>
      <c r="T67" s="212">
        <v>5</v>
      </c>
      <c r="U67" s="212">
        <v>4</v>
      </c>
      <c r="V67" s="212">
        <v>3</v>
      </c>
      <c r="W67" s="212">
        <v>2</v>
      </c>
      <c r="X67" s="283">
        <v>1</v>
      </c>
      <c r="Y67" s="284"/>
      <c r="Z67" s="183"/>
    </row>
    <row r="68" spans="1:26" ht="15" thickBot="1">
      <c r="A68" s="194" t="s">
        <v>78</v>
      </c>
      <c r="B68" s="211"/>
      <c r="C68" s="211"/>
      <c r="D68" s="285"/>
      <c r="E68" s="213"/>
      <c r="F68" s="200"/>
      <c r="G68" s="200"/>
      <c r="H68" s="200"/>
      <c r="I68" s="200"/>
      <c r="J68" s="200"/>
      <c r="K68" s="200"/>
      <c r="L68" s="200"/>
      <c r="M68" s="200"/>
      <c r="N68" s="200"/>
      <c r="O68" s="200"/>
      <c r="P68" s="200"/>
      <c r="Q68" s="200"/>
      <c r="R68" s="200"/>
      <c r="S68" s="200"/>
      <c r="T68" s="200"/>
      <c r="U68" s="200"/>
      <c r="V68" s="200"/>
      <c r="W68" s="200"/>
      <c r="X68" s="241"/>
      <c r="Y68" s="242"/>
      <c r="Z68" s="183"/>
    </row>
    <row r="69" spans="1:26" ht="15" thickBot="1">
      <c r="A69" s="204" t="s">
        <v>58</v>
      </c>
      <c r="B69" s="205" t="s">
        <v>59</v>
      </c>
      <c r="C69" s="286">
        <v>0.97860000000000003</v>
      </c>
      <c r="D69" s="206" t="s">
        <v>1</v>
      </c>
      <c r="E69" s="36">
        <v>36.638784000000001</v>
      </c>
      <c r="F69" s="36">
        <v>36.638784000000001</v>
      </c>
      <c r="G69" s="36">
        <v>36.638784000000001</v>
      </c>
      <c r="H69" s="36">
        <v>36.638784000000001</v>
      </c>
      <c r="I69" s="36">
        <v>36.638784000000001</v>
      </c>
      <c r="J69" s="36">
        <v>36.638784000000001</v>
      </c>
      <c r="K69" s="36">
        <v>36.638784000000001</v>
      </c>
      <c r="L69" s="36">
        <v>36.638784000000001</v>
      </c>
      <c r="M69" s="36">
        <v>36.638784000000001</v>
      </c>
      <c r="N69" s="36">
        <v>36.638784000000001</v>
      </c>
      <c r="O69" s="36">
        <v>36.638784000000001</v>
      </c>
      <c r="P69" s="36">
        <v>36.638784000000001</v>
      </c>
      <c r="Q69" s="36">
        <v>36.638784000000001</v>
      </c>
      <c r="R69" s="36">
        <v>36.638784000000001</v>
      </c>
      <c r="S69" s="36">
        <v>36.638784000000001</v>
      </c>
      <c r="T69" s="36">
        <v>36.638784000000001</v>
      </c>
      <c r="U69" s="36">
        <v>36.638784000000001</v>
      </c>
      <c r="V69" s="36">
        <v>36.638784000000001</v>
      </c>
      <c r="W69" s="36">
        <v>36.638784000000001</v>
      </c>
      <c r="X69" s="36">
        <v>36.638784000000001</v>
      </c>
      <c r="Y69" s="36">
        <v>36.638784000000001</v>
      </c>
      <c r="Z69" s="183"/>
    </row>
    <row r="70" spans="1:26" ht="15" thickBot="1">
      <c r="A70" s="204" t="s">
        <v>87</v>
      </c>
      <c r="B70" s="205" t="s">
        <v>73</v>
      </c>
      <c r="C70" s="287">
        <v>0.79220779220779236</v>
      </c>
      <c r="D70" s="206" t="s">
        <v>1</v>
      </c>
      <c r="E70" s="36">
        <v>12027.945401537241</v>
      </c>
      <c r="F70" s="36">
        <v>12027.945401537241</v>
      </c>
      <c r="G70" s="36">
        <v>12027.945401537241</v>
      </c>
      <c r="H70" s="36">
        <v>12027.945401537241</v>
      </c>
      <c r="I70" s="36">
        <v>12027.945401537241</v>
      </c>
      <c r="J70" s="36">
        <v>12027.945401537241</v>
      </c>
      <c r="K70" s="36">
        <v>12027.945401537241</v>
      </c>
      <c r="L70" s="36">
        <v>12027.945401537241</v>
      </c>
      <c r="M70" s="36">
        <v>12027.945401537241</v>
      </c>
      <c r="N70" s="36">
        <v>12027.945401537241</v>
      </c>
      <c r="O70" s="36">
        <v>12027.945401537241</v>
      </c>
      <c r="P70" s="36">
        <v>12027.945401537241</v>
      </c>
      <c r="Q70" s="36">
        <v>12027.945401537241</v>
      </c>
      <c r="R70" s="36">
        <v>12027.945401537241</v>
      </c>
      <c r="S70" s="36">
        <v>12027.945401537241</v>
      </c>
      <c r="T70" s="36">
        <v>12027.945401537241</v>
      </c>
      <c r="U70" s="36">
        <v>12027.945401537241</v>
      </c>
      <c r="V70" s="36">
        <v>12027.945401537241</v>
      </c>
      <c r="W70" s="36">
        <v>12027.945401537241</v>
      </c>
      <c r="X70" s="36">
        <v>12027.945401537241</v>
      </c>
      <c r="Y70" s="36">
        <v>12027.945401537241</v>
      </c>
      <c r="Z70" s="183"/>
    </row>
    <row r="71" spans="1:26" ht="15" thickBot="1">
      <c r="A71" s="288" t="s">
        <v>79</v>
      </c>
      <c r="B71" s="210"/>
      <c r="C71" s="210"/>
      <c r="D71" s="206" t="s">
        <v>1</v>
      </c>
      <c r="E71" s="36">
        <v>12064.584185537242</v>
      </c>
      <c r="F71" s="36">
        <v>12064.584185537242</v>
      </c>
      <c r="G71" s="36">
        <v>12064.584185537242</v>
      </c>
      <c r="H71" s="36">
        <v>12064.584185537242</v>
      </c>
      <c r="I71" s="36">
        <v>12064.584185537242</v>
      </c>
      <c r="J71" s="36">
        <v>12064.584185537242</v>
      </c>
      <c r="K71" s="36">
        <v>12064.584185537242</v>
      </c>
      <c r="L71" s="36">
        <v>12064.584185537242</v>
      </c>
      <c r="M71" s="36">
        <v>12064.584185537242</v>
      </c>
      <c r="N71" s="36">
        <v>12064.584185537242</v>
      </c>
      <c r="O71" s="36">
        <v>12064.584185537242</v>
      </c>
      <c r="P71" s="36">
        <v>12064.584185537242</v>
      </c>
      <c r="Q71" s="36">
        <v>12064.584185537242</v>
      </c>
      <c r="R71" s="36">
        <v>12064.584185537242</v>
      </c>
      <c r="S71" s="36">
        <v>12064.584185537242</v>
      </c>
      <c r="T71" s="36">
        <v>12064.584185537242</v>
      </c>
      <c r="U71" s="36">
        <v>12064.584185537242</v>
      </c>
      <c r="V71" s="36">
        <v>12064.584185537242</v>
      </c>
      <c r="W71" s="36">
        <v>12064.584185537242</v>
      </c>
      <c r="X71" s="36">
        <v>12064.584185537242</v>
      </c>
      <c r="Y71" s="36">
        <v>12064.584185537242</v>
      </c>
      <c r="Z71" s="183"/>
    </row>
    <row r="72" spans="1:26" ht="15" thickBot="1">
      <c r="A72" s="199" t="s">
        <v>80</v>
      </c>
      <c r="B72" s="213"/>
      <c r="C72" s="213"/>
      <c r="D72" s="289"/>
      <c r="E72" s="36"/>
      <c r="F72" s="36"/>
      <c r="G72" s="36"/>
      <c r="H72" s="36"/>
      <c r="I72" s="36"/>
      <c r="J72" s="36"/>
      <c r="K72" s="36"/>
      <c r="L72" s="36"/>
      <c r="M72" s="36"/>
      <c r="N72" s="36"/>
      <c r="O72" s="36"/>
      <c r="P72" s="36"/>
      <c r="Q72" s="36"/>
      <c r="R72" s="36"/>
      <c r="S72" s="36"/>
      <c r="T72" s="36"/>
      <c r="U72" s="36"/>
      <c r="V72" s="36"/>
      <c r="W72" s="36"/>
      <c r="X72" s="36"/>
      <c r="Y72" s="36"/>
      <c r="Z72" s="183"/>
    </row>
    <row r="73" spans="1:26" ht="15" thickBot="1">
      <c r="A73" s="204" t="s">
        <v>35</v>
      </c>
      <c r="B73" s="213"/>
      <c r="C73" s="213">
        <v>0.79220779220779236</v>
      </c>
      <c r="D73" s="206" t="s">
        <v>1</v>
      </c>
      <c r="E73" s="36">
        <v>1584.4155844155848</v>
      </c>
      <c r="F73" s="36"/>
      <c r="G73" s="36"/>
      <c r="H73" s="36"/>
      <c r="I73" s="36"/>
      <c r="J73" s="36"/>
      <c r="K73" s="36"/>
      <c r="L73" s="36"/>
      <c r="M73" s="36"/>
      <c r="N73" s="36"/>
      <c r="O73" s="36"/>
      <c r="P73" s="36"/>
      <c r="Q73" s="36"/>
      <c r="R73" s="36"/>
      <c r="S73" s="36"/>
      <c r="T73" s="36"/>
      <c r="U73" s="36"/>
      <c r="V73" s="36"/>
      <c r="W73" s="36"/>
      <c r="X73" s="36"/>
      <c r="Y73" s="36"/>
      <c r="Z73" s="183"/>
    </row>
    <row r="74" spans="1:26" ht="15" thickBot="1">
      <c r="A74" s="204" t="s">
        <v>63</v>
      </c>
      <c r="B74" s="213"/>
      <c r="C74" s="213">
        <v>0.79220779220779236</v>
      </c>
      <c r="D74" s="206" t="s">
        <v>1</v>
      </c>
      <c r="E74" s="36">
        <v>0</v>
      </c>
      <c r="F74" s="36">
        <v>158.44155844155847</v>
      </c>
      <c r="G74" s="36">
        <v>158.44155844155847</v>
      </c>
      <c r="H74" s="36">
        <v>158.44155844155847</v>
      </c>
      <c r="I74" s="36">
        <v>158.44155844155847</v>
      </c>
      <c r="J74" s="36">
        <v>158.44155844155847</v>
      </c>
      <c r="K74" s="36">
        <v>158.44155844155847</v>
      </c>
      <c r="L74" s="36">
        <v>158.44155844155847</v>
      </c>
      <c r="M74" s="36">
        <v>158.44155844155847</v>
      </c>
      <c r="N74" s="36">
        <v>158.44155844155847</v>
      </c>
      <c r="O74" s="36">
        <v>158.44155844155847</v>
      </c>
      <c r="P74" s="36">
        <v>158.44155844155847</v>
      </c>
      <c r="Q74" s="36">
        <v>158.44155844155847</v>
      </c>
      <c r="R74" s="36">
        <v>158.44155844155847</v>
      </c>
      <c r="S74" s="36">
        <v>158.44155844155847</v>
      </c>
      <c r="T74" s="36">
        <v>158.44155844155847</v>
      </c>
      <c r="U74" s="36">
        <v>158.44155844155847</v>
      </c>
      <c r="V74" s="36">
        <v>158.44155844155847</v>
      </c>
      <c r="W74" s="36">
        <v>158.44155844155847</v>
      </c>
      <c r="X74" s="36">
        <v>158.44155844155847</v>
      </c>
      <c r="Y74" s="36">
        <v>158.44155844155847</v>
      </c>
      <c r="Z74" s="183"/>
    </row>
    <row r="75" spans="1:26" ht="15" customHeight="1" thickBot="1">
      <c r="A75" s="288" t="s">
        <v>81</v>
      </c>
      <c r="B75" s="210"/>
      <c r="C75" s="210"/>
      <c r="D75" s="206" t="s">
        <v>1</v>
      </c>
      <c r="E75" s="36">
        <v>1584.4155844155848</v>
      </c>
      <c r="F75" s="36">
        <v>158.44155844155847</v>
      </c>
      <c r="G75" s="36">
        <v>158.44155844155847</v>
      </c>
      <c r="H75" s="36">
        <v>158.44155844155847</v>
      </c>
      <c r="I75" s="36">
        <v>158.44155844155847</v>
      </c>
      <c r="J75" s="36">
        <v>158.44155844155847</v>
      </c>
      <c r="K75" s="36">
        <v>158.44155844155847</v>
      </c>
      <c r="L75" s="36">
        <v>158.44155844155847</v>
      </c>
      <c r="M75" s="36">
        <v>158.44155844155847</v>
      </c>
      <c r="N75" s="36">
        <v>158.44155844155847</v>
      </c>
      <c r="O75" s="36">
        <v>158.44155844155847</v>
      </c>
      <c r="P75" s="36">
        <v>158.44155844155847</v>
      </c>
      <c r="Q75" s="36">
        <v>158.44155844155847</v>
      </c>
      <c r="R75" s="36">
        <v>158.44155844155847</v>
      </c>
      <c r="S75" s="36">
        <v>158.44155844155847</v>
      </c>
      <c r="T75" s="36">
        <v>158.44155844155847</v>
      </c>
      <c r="U75" s="36">
        <v>158.44155844155847</v>
      </c>
      <c r="V75" s="36">
        <v>158.44155844155847</v>
      </c>
      <c r="W75" s="36">
        <v>158.44155844155847</v>
      </c>
      <c r="X75" s="36">
        <v>158.44155844155847</v>
      </c>
      <c r="Y75" s="36">
        <v>158.44155844155847</v>
      </c>
      <c r="Z75" s="183"/>
    </row>
    <row r="76" spans="1:26" ht="15" thickBot="1">
      <c r="A76" s="214" t="s">
        <v>82</v>
      </c>
      <c r="B76" s="210"/>
      <c r="C76" s="210"/>
      <c r="D76" s="206" t="s">
        <v>1</v>
      </c>
      <c r="E76" s="36">
        <v>10480.168601121657</v>
      </c>
      <c r="F76" s="36">
        <v>11906.142627095684</v>
      </c>
      <c r="G76" s="36">
        <v>11906.142627095684</v>
      </c>
      <c r="H76" s="36">
        <v>11906.142627095684</v>
      </c>
      <c r="I76" s="36">
        <v>11906.142627095684</v>
      </c>
      <c r="J76" s="36">
        <v>11906.142627095684</v>
      </c>
      <c r="K76" s="36">
        <v>11906.142627095684</v>
      </c>
      <c r="L76" s="36">
        <v>11906.142627095684</v>
      </c>
      <c r="M76" s="36">
        <v>11906.142627095684</v>
      </c>
      <c r="N76" s="36">
        <v>11906.142627095684</v>
      </c>
      <c r="O76" s="36">
        <v>11906.142627095684</v>
      </c>
      <c r="P76" s="36">
        <v>11906.142627095684</v>
      </c>
      <c r="Q76" s="36">
        <v>11906.142627095684</v>
      </c>
      <c r="R76" s="36">
        <v>11906.142627095684</v>
      </c>
      <c r="S76" s="36">
        <v>11906.142627095684</v>
      </c>
      <c r="T76" s="36">
        <v>11906.142627095684</v>
      </c>
      <c r="U76" s="36">
        <v>11906.142627095684</v>
      </c>
      <c r="V76" s="36">
        <v>11906.142627095684</v>
      </c>
      <c r="W76" s="36">
        <v>11906.142627095684</v>
      </c>
      <c r="X76" s="36">
        <v>11906.142627095684</v>
      </c>
      <c r="Y76" s="36">
        <v>11906.142627095684</v>
      </c>
      <c r="Z76" s="183"/>
    </row>
    <row r="77" spans="1:26" ht="15" thickBot="1">
      <c r="A77" s="290"/>
      <c r="B77" s="291"/>
      <c r="C77" s="291"/>
      <c r="D77" s="291"/>
      <c r="E77" s="292"/>
      <c r="F77" s="292"/>
      <c r="G77" s="292"/>
      <c r="H77" s="293"/>
      <c r="I77" s="293"/>
      <c r="J77" s="293"/>
      <c r="K77" s="293"/>
      <c r="L77" s="293"/>
      <c r="M77" s="293"/>
      <c r="N77" s="293"/>
      <c r="O77" s="293"/>
      <c r="P77" s="293"/>
      <c r="Q77" s="293"/>
      <c r="R77" s="293"/>
      <c r="S77" s="293"/>
      <c r="T77" s="293"/>
      <c r="U77" s="293"/>
      <c r="V77" s="293"/>
      <c r="W77" s="293"/>
      <c r="X77" s="294"/>
      <c r="Y77" s="295"/>
      <c r="Z77" s="183"/>
    </row>
    <row r="78" spans="1:26" ht="15" thickBot="1">
      <c r="A78" s="331" t="s">
        <v>83</v>
      </c>
      <c r="B78" s="332"/>
      <c r="C78" s="332"/>
      <c r="D78" s="333"/>
      <c r="E78" s="226"/>
      <c r="F78" s="227"/>
      <c r="G78" s="227"/>
      <c r="H78" s="227"/>
      <c r="I78" s="227"/>
      <c r="J78" s="227"/>
      <c r="K78" s="227"/>
      <c r="L78" s="227"/>
      <c r="M78" s="227"/>
      <c r="N78" s="227"/>
      <c r="O78" s="227"/>
      <c r="P78" s="227"/>
      <c r="Q78" s="227"/>
      <c r="R78" s="227"/>
      <c r="S78" s="227"/>
      <c r="T78" s="227"/>
      <c r="U78" s="227"/>
      <c r="V78" s="227"/>
      <c r="W78" s="227"/>
      <c r="X78" s="228"/>
      <c r="Y78" s="229"/>
      <c r="Z78" s="183"/>
    </row>
    <row r="79" spans="1:26" ht="15" thickBot="1">
      <c r="A79" s="349" t="s">
        <v>10</v>
      </c>
      <c r="B79" s="350"/>
      <c r="C79" s="351"/>
      <c r="D79" s="94">
        <v>0.06</v>
      </c>
      <c r="E79" s="226"/>
      <c r="F79" s="227"/>
      <c r="G79" s="227"/>
      <c r="H79" s="227"/>
      <c r="I79" s="227"/>
      <c r="J79" s="227"/>
      <c r="K79" s="227"/>
      <c r="L79" s="227"/>
      <c r="M79" s="227"/>
      <c r="N79" s="227"/>
      <c r="O79" s="227"/>
      <c r="P79" s="227"/>
      <c r="Q79" s="227"/>
      <c r="R79" s="227"/>
      <c r="S79" s="227"/>
      <c r="T79" s="227"/>
      <c r="U79" s="227"/>
      <c r="V79" s="227"/>
      <c r="W79" s="227"/>
      <c r="X79" s="228"/>
      <c r="Y79" s="229"/>
      <c r="Z79" s="183"/>
    </row>
    <row r="80" spans="1:26" ht="15" thickBot="1">
      <c r="A80" s="337" t="s">
        <v>23</v>
      </c>
      <c r="B80" s="352"/>
      <c r="C80" s="352"/>
      <c r="D80" s="339"/>
      <c r="E80" s="230"/>
      <c r="F80" s="227"/>
      <c r="G80" s="227"/>
      <c r="H80" s="227"/>
      <c r="I80" s="227"/>
      <c r="J80" s="227"/>
      <c r="K80" s="227"/>
      <c r="L80" s="227"/>
      <c r="M80" s="227"/>
      <c r="N80" s="227"/>
      <c r="O80" s="227"/>
      <c r="P80" s="227"/>
      <c r="Q80" s="227"/>
      <c r="R80" s="227"/>
      <c r="S80" s="227"/>
      <c r="T80" s="227"/>
      <c r="U80" s="227"/>
      <c r="V80" s="227"/>
      <c r="W80" s="227"/>
      <c r="X80" s="228"/>
      <c r="Y80" s="229"/>
      <c r="Z80" s="183"/>
    </row>
    <row r="81" spans="1:26">
      <c r="A81" s="353" t="s">
        <v>7</v>
      </c>
      <c r="B81" s="354"/>
      <c r="C81" s="355"/>
      <c r="D81" s="258">
        <v>138719.51561406665</v>
      </c>
      <c r="E81" s="230" t="s">
        <v>1</v>
      </c>
      <c r="F81" s="227"/>
      <c r="G81" s="227"/>
      <c r="H81" s="227"/>
      <c r="I81" s="227"/>
      <c r="J81" s="227"/>
      <c r="K81" s="227"/>
      <c r="L81" s="227"/>
      <c r="M81" s="227"/>
      <c r="N81" s="227"/>
      <c r="O81" s="227"/>
      <c r="P81" s="227"/>
      <c r="Q81" s="227"/>
      <c r="R81" s="227"/>
      <c r="S81" s="227"/>
      <c r="T81" s="227"/>
      <c r="U81" s="227"/>
      <c r="V81" s="227"/>
      <c r="W81" s="227"/>
      <c r="X81" s="228"/>
      <c r="Y81" s="229"/>
      <c r="Z81" s="183"/>
    </row>
    <row r="82" spans="1:26">
      <c r="A82" s="353" t="s">
        <v>8</v>
      </c>
      <c r="B82" s="354"/>
      <c r="C82" s="355"/>
      <c r="D82" s="96" t="e">
        <v>#DIV/0!</v>
      </c>
      <c r="E82" s="230" t="s">
        <v>24</v>
      </c>
      <c r="F82" s="227"/>
      <c r="G82" s="227"/>
      <c r="H82" s="227"/>
      <c r="I82" s="227"/>
      <c r="J82" s="227"/>
      <c r="K82" s="227"/>
      <c r="L82" s="227"/>
      <c r="M82" s="227"/>
      <c r="N82" s="227"/>
      <c r="O82" s="227"/>
      <c r="P82" s="227"/>
      <c r="Q82" s="227"/>
      <c r="R82" s="227"/>
      <c r="S82" s="227"/>
      <c r="T82" s="227"/>
      <c r="U82" s="227"/>
      <c r="V82" s="227"/>
      <c r="W82" s="227"/>
      <c r="X82" s="228"/>
      <c r="Y82" s="229"/>
      <c r="Z82" s="183"/>
    </row>
    <row r="83" spans="1:26" ht="15" thickBot="1">
      <c r="A83" s="346" t="s">
        <v>9</v>
      </c>
      <c r="B83" s="347"/>
      <c r="C83" s="348"/>
      <c r="D83" s="97" t="e">
        <v>#DIV/0!</v>
      </c>
      <c r="E83" s="230" t="s">
        <v>24</v>
      </c>
      <c r="F83" s="227"/>
      <c r="G83" s="227"/>
      <c r="H83" s="227"/>
      <c r="I83" s="227"/>
      <c r="J83" s="227"/>
      <c r="K83" s="227"/>
      <c r="L83" s="227"/>
      <c r="M83" s="227"/>
      <c r="N83" s="227"/>
      <c r="O83" s="227"/>
      <c r="P83" s="227"/>
      <c r="Q83" s="227"/>
      <c r="R83" s="227"/>
      <c r="S83" s="227"/>
      <c r="T83" s="227"/>
      <c r="U83" s="227"/>
      <c r="V83" s="227"/>
      <c r="W83" s="227"/>
      <c r="X83" s="228"/>
      <c r="Y83" s="229"/>
      <c r="Z83" s="183"/>
    </row>
    <row r="84" spans="1:26" ht="15" thickBot="1">
      <c r="A84" s="220"/>
      <c r="B84" s="221"/>
      <c r="C84" s="221"/>
      <c r="D84" s="221"/>
      <c r="E84" s="235"/>
      <c r="F84" s="235"/>
      <c r="G84" s="235"/>
      <c r="H84" s="235"/>
      <c r="I84" s="235"/>
      <c r="J84" s="235"/>
      <c r="K84" s="235"/>
      <c r="L84" s="235"/>
      <c r="M84" s="235"/>
      <c r="N84" s="235"/>
      <c r="O84" s="235"/>
      <c r="P84" s="235"/>
      <c r="Q84" s="235"/>
      <c r="R84" s="235"/>
      <c r="S84" s="235"/>
      <c r="T84" s="235"/>
      <c r="U84" s="235"/>
      <c r="V84" s="235"/>
      <c r="W84" s="235"/>
      <c r="X84" s="236"/>
      <c r="Y84" s="237"/>
      <c r="Z84" s="183"/>
    </row>
    <row r="85" spans="1:26" ht="27" customHeight="1" thickBot="1">
      <c r="A85" s="328" t="s">
        <v>84</v>
      </c>
      <c r="B85" s="329"/>
      <c r="C85" s="329"/>
      <c r="D85" s="329"/>
      <c r="E85" s="329"/>
      <c r="F85" s="329"/>
      <c r="G85" s="329"/>
      <c r="H85" s="329"/>
      <c r="I85" s="329"/>
      <c r="J85" s="329"/>
      <c r="K85" s="329"/>
      <c r="L85" s="329"/>
      <c r="M85" s="329"/>
      <c r="N85" s="329"/>
      <c r="O85" s="329"/>
      <c r="P85" s="329"/>
      <c r="Q85" s="329"/>
      <c r="R85" s="329"/>
      <c r="S85" s="329"/>
      <c r="T85" s="329"/>
      <c r="U85" s="329"/>
      <c r="V85" s="329"/>
      <c r="W85" s="329"/>
      <c r="X85" s="329"/>
      <c r="Y85" s="330"/>
      <c r="Z85" s="183"/>
    </row>
    <row r="86" spans="1:26">
      <c r="A86" s="282"/>
      <c r="B86" s="195" t="s">
        <v>54</v>
      </c>
      <c r="C86" s="196" t="s">
        <v>55</v>
      </c>
      <c r="D86" s="197" t="s">
        <v>56</v>
      </c>
      <c r="E86" s="196">
        <v>2023</v>
      </c>
      <c r="F86" s="196">
        <v>2024</v>
      </c>
      <c r="G86" s="196">
        <v>2025</v>
      </c>
      <c r="H86" s="196">
        <v>2026</v>
      </c>
      <c r="I86" s="196">
        <v>2027</v>
      </c>
      <c r="J86" s="196">
        <v>2028</v>
      </c>
      <c r="K86" s="196">
        <v>2029</v>
      </c>
      <c r="L86" s="196">
        <v>2030</v>
      </c>
      <c r="M86" s="196">
        <v>2031</v>
      </c>
      <c r="N86" s="196">
        <v>2032</v>
      </c>
      <c r="O86" s="196">
        <v>2033</v>
      </c>
      <c r="P86" s="196">
        <v>2034</v>
      </c>
      <c r="Q86" s="196">
        <v>2035</v>
      </c>
      <c r="R86" s="196">
        <v>2036</v>
      </c>
      <c r="S86" s="196">
        <v>2037</v>
      </c>
      <c r="T86" s="196">
        <v>2038</v>
      </c>
      <c r="U86" s="196">
        <v>2039</v>
      </c>
      <c r="V86" s="196">
        <v>2040</v>
      </c>
      <c r="W86" s="196">
        <v>2041</v>
      </c>
      <c r="X86" s="196">
        <v>2042</v>
      </c>
      <c r="Y86" s="198">
        <v>2043</v>
      </c>
      <c r="Z86" s="183"/>
    </row>
    <row r="87" spans="1:26" ht="15" thickBot="1">
      <c r="A87" s="194" t="s">
        <v>72</v>
      </c>
      <c r="B87" s="270"/>
      <c r="C87" s="212"/>
      <c r="D87" s="212"/>
      <c r="E87" s="271">
        <v>108</v>
      </c>
      <c r="F87" s="271">
        <v>216</v>
      </c>
      <c r="G87" s="271">
        <v>324</v>
      </c>
      <c r="H87" s="271">
        <v>432</v>
      </c>
      <c r="I87" s="271">
        <v>540</v>
      </c>
      <c r="J87" s="271">
        <v>540</v>
      </c>
      <c r="K87" s="271">
        <v>540</v>
      </c>
      <c r="L87" s="271">
        <v>540</v>
      </c>
      <c r="M87" s="271">
        <v>540</v>
      </c>
      <c r="N87" s="271">
        <v>540</v>
      </c>
      <c r="O87" s="271">
        <v>540</v>
      </c>
      <c r="P87" s="271">
        <v>540</v>
      </c>
      <c r="Q87" s="271">
        <v>540</v>
      </c>
      <c r="R87" s="271">
        <v>540</v>
      </c>
      <c r="S87" s="271">
        <v>540</v>
      </c>
      <c r="T87" s="271">
        <v>540</v>
      </c>
      <c r="U87" s="271">
        <v>540</v>
      </c>
      <c r="V87" s="271">
        <v>540</v>
      </c>
      <c r="W87" s="271">
        <v>540</v>
      </c>
      <c r="X87" s="271">
        <v>540</v>
      </c>
      <c r="Y87" s="271">
        <v>540</v>
      </c>
      <c r="Z87" s="183"/>
    </row>
    <row r="88" spans="1:26" ht="15" thickBot="1">
      <c r="A88" s="204" t="s">
        <v>58</v>
      </c>
      <c r="B88" s="205" t="s">
        <v>59</v>
      </c>
      <c r="C88" s="296"/>
      <c r="D88" s="206" t="s">
        <v>1</v>
      </c>
      <c r="E88" s="36">
        <v>3956.988672</v>
      </c>
      <c r="F88" s="36">
        <v>7913.9773439999999</v>
      </c>
      <c r="G88" s="36">
        <v>11870.966016</v>
      </c>
      <c r="H88" s="36">
        <v>15827.954688</v>
      </c>
      <c r="I88" s="36">
        <v>19784.943360000001</v>
      </c>
      <c r="J88" s="36">
        <v>19784.943360000001</v>
      </c>
      <c r="K88" s="36">
        <v>19784.943360000001</v>
      </c>
      <c r="L88" s="36">
        <v>19784.943360000001</v>
      </c>
      <c r="M88" s="36">
        <v>19784.943360000001</v>
      </c>
      <c r="N88" s="36">
        <v>19784.943360000001</v>
      </c>
      <c r="O88" s="36">
        <v>19784.943360000001</v>
      </c>
      <c r="P88" s="36">
        <v>19784.943360000001</v>
      </c>
      <c r="Q88" s="36">
        <v>19784.943360000001</v>
      </c>
      <c r="R88" s="36">
        <v>19784.943360000001</v>
      </c>
      <c r="S88" s="36">
        <v>19784.943360000001</v>
      </c>
      <c r="T88" s="36">
        <v>19784.943360000001</v>
      </c>
      <c r="U88" s="36">
        <v>19784.943360000001</v>
      </c>
      <c r="V88" s="36">
        <v>19784.943360000001</v>
      </c>
      <c r="W88" s="36">
        <v>19784.943360000001</v>
      </c>
      <c r="X88" s="36">
        <v>19784.943360000001</v>
      </c>
      <c r="Y88" s="36">
        <v>19784.943360000001</v>
      </c>
      <c r="Z88" s="183"/>
    </row>
    <row r="89" spans="1:26" ht="15" thickBot="1">
      <c r="A89" s="204" t="s">
        <v>87</v>
      </c>
      <c r="B89" s="205" t="s">
        <v>73</v>
      </c>
      <c r="C89" s="200"/>
      <c r="D89" s="206" t="s">
        <v>1</v>
      </c>
      <c r="E89" s="36">
        <v>1299018.103366022</v>
      </c>
      <c r="F89" s="36">
        <v>2598036.206732044</v>
      </c>
      <c r="G89" s="36">
        <v>3897054.310098066</v>
      </c>
      <c r="H89" s="36">
        <v>5196072.413464088</v>
      </c>
      <c r="I89" s="36">
        <v>6495090.51683011</v>
      </c>
      <c r="J89" s="36">
        <v>6495090.51683011</v>
      </c>
      <c r="K89" s="36">
        <v>6495090.51683011</v>
      </c>
      <c r="L89" s="36">
        <v>6495090.51683011</v>
      </c>
      <c r="M89" s="36">
        <v>6495090.51683011</v>
      </c>
      <c r="N89" s="36">
        <v>6495090.51683011</v>
      </c>
      <c r="O89" s="36">
        <v>6495090.51683011</v>
      </c>
      <c r="P89" s="36">
        <v>6495090.51683011</v>
      </c>
      <c r="Q89" s="36">
        <v>6495090.51683011</v>
      </c>
      <c r="R89" s="36">
        <v>6495090.51683011</v>
      </c>
      <c r="S89" s="36">
        <v>6495090.51683011</v>
      </c>
      <c r="T89" s="36">
        <v>6495090.51683011</v>
      </c>
      <c r="U89" s="36">
        <v>6495090.51683011</v>
      </c>
      <c r="V89" s="36">
        <v>6495090.51683011</v>
      </c>
      <c r="W89" s="36">
        <v>6495090.51683011</v>
      </c>
      <c r="X89" s="36">
        <v>6495090.51683011</v>
      </c>
      <c r="Y89" s="36">
        <v>6495090.51683011</v>
      </c>
      <c r="Z89" s="183"/>
    </row>
    <row r="90" spans="1:26" ht="15" thickBot="1">
      <c r="A90" s="288" t="s">
        <v>79</v>
      </c>
      <c r="B90" s="210"/>
      <c r="C90" s="210"/>
      <c r="D90" s="206" t="s">
        <v>1</v>
      </c>
      <c r="E90" s="36">
        <v>1302975.0920380219</v>
      </c>
      <c r="F90" s="36">
        <v>2605950.1840760438</v>
      </c>
      <c r="G90" s="36">
        <v>3908925.2761140661</v>
      </c>
      <c r="H90" s="36">
        <v>5211900.3681520876</v>
      </c>
      <c r="I90" s="36">
        <v>6514875.4601901099</v>
      </c>
      <c r="J90" s="36">
        <v>6514875.4601901099</v>
      </c>
      <c r="K90" s="36">
        <v>6514875.4601901099</v>
      </c>
      <c r="L90" s="36">
        <v>6514875.4601901099</v>
      </c>
      <c r="M90" s="36">
        <v>6514875.4601901099</v>
      </c>
      <c r="N90" s="36">
        <v>6514875.4601901099</v>
      </c>
      <c r="O90" s="36">
        <v>6514875.4601901099</v>
      </c>
      <c r="P90" s="36">
        <v>6514875.4601901099</v>
      </c>
      <c r="Q90" s="36">
        <v>6514875.4601901099</v>
      </c>
      <c r="R90" s="36">
        <v>6514875.4601901099</v>
      </c>
      <c r="S90" s="36">
        <v>6514875.4601901099</v>
      </c>
      <c r="T90" s="36">
        <v>6514875.4601901099</v>
      </c>
      <c r="U90" s="36">
        <v>6514875.4601901099</v>
      </c>
      <c r="V90" s="36">
        <v>6514875.4601901099</v>
      </c>
      <c r="W90" s="36">
        <v>6514875.4601901099</v>
      </c>
      <c r="X90" s="36">
        <v>6514875.4601901099</v>
      </c>
      <c r="Y90" s="36">
        <v>6514875.4601901099</v>
      </c>
      <c r="Z90" s="183"/>
    </row>
    <row r="91" spans="1:26" ht="15" thickBot="1">
      <c r="A91" s="199" t="s">
        <v>80</v>
      </c>
      <c r="B91" s="213"/>
      <c r="C91" s="213"/>
      <c r="D91" s="289"/>
      <c r="E91" s="36"/>
      <c r="F91" s="36"/>
      <c r="G91" s="36"/>
      <c r="H91" s="36"/>
      <c r="I91" s="36"/>
      <c r="J91" s="36"/>
      <c r="K91" s="36"/>
      <c r="L91" s="36"/>
      <c r="M91" s="36"/>
      <c r="N91" s="36"/>
      <c r="O91" s="36"/>
      <c r="P91" s="36"/>
      <c r="Q91" s="36"/>
      <c r="R91" s="36"/>
      <c r="S91" s="36"/>
      <c r="T91" s="36"/>
      <c r="U91" s="36"/>
      <c r="V91" s="36"/>
      <c r="W91" s="36"/>
      <c r="X91" s="36"/>
      <c r="Y91" s="36"/>
      <c r="Z91" s="183"/>
    </row>
    <row r="92" spans="1:26" ht="15" thickBot="1">
      <c r="A92" s="204" t="s">
        <v>35</v>
      </c>
      <c r="B92" s="213"/>
      <c r="C92" s="213"/>
      <c r="D92" s="206" t="s">
        <v>1</v>
      </c>
      <c r="E92" s="36">
        <v>171116.88311688317</v>
      </c>
      <c r="F92" s="36">
        <v>171116.88311688317</v>
      </c>
      <c r="G92" s="36">
        <v>171116.88311688317</v>
      </c>
      <c r="H92" s="36">
        <v>171116.88311688317</v>
      </c>
      <c r="I92" s="36">
        <v>171116.88311688317</v>
      </c>
      <c r="J92" s="36">
        <v>0</v>
      </c>
      <c r="K92" s="36"/>
      <c r="L92" s="36"/>
      <c r="M92" s="36"/>
      <c r="N92" s="36"/>
      <c r="O92" s="36"/>
      <c r="P92" s="36"/>
      <c r="Q92" s="36"/>
      <c r="R92" s="36"/>
      <c r="S92" s="36"/>
      <c r="T92" s="36"/>
      <c r="U92" s="36"/>
      <c r="V92" s="36"/>
      <c r="W92" s="36"/>
      <c r="X92" s="36"/>
      <c r="Y92" s="36"/>
      <c r="Z92" s="183"/>
    </row>
    <row r="93" spans="1:26" ht="15" thickBot="1">
      <c r="A93" s="204" t="s">
        <v>63</v>
      </c>
      <c r="B93" s="213"/>
      <c r="C93" s="213"/>
      <c r="D93" s="206" t="s">
        <v>1</v>
      </c>
      <c r="E93" s="36">
        <v>0</v>
      </c>
      <c r="F93" s="36">
        <v>34223.376623376629</v>
      </c>
      <c r="G93" s="36">
        <v>51335.064935064947</v>
      </c>
      <c r="H93" s="36">
        <v>68446.753246753258</v>
      </c>
      <c r="I93" s="36">
        <v>85558.441558441569</v>
      </c>
      <c r="J93" s="36">
        <v>85558.441558441569</v>
      </c>
      <c r="K93" s="36">
        <v>85558.441558441569</v>
      </c>
      <c r="L93" s="36">
        <v>85558.441558441569</v>
      </c>
      <c r="M93" s="36">
        <v>85558.441558441569</v>
      </c>
      <c r="N93" s="36">
        <v>85558.441558441569</v>
      </c>
      <c r="O93" s="36">
        <v>85558.441558441569</v>
      </c>
      <c r="P93" s="36">
        <v>85558.441558441569</v>
      </c>
      <c r="Q93" s="36">
        <v>85558.441558441569</v>
      </c>
      <c r="R93" s="36">
        <v>85558.441558441569</v>
      </c>
      <c r="S93" s="36">
        <v>85558.441558441569</v>
      </c>
      <c r="T93" s="36">
        <v>85558.441558441569</v>
      </c>
      <c r="U93" s="36">
        <v>85558.441558441569</v>
      </c>
      <c r="V93" s="36">
        <v>85558.441558441569</v>
      </c>
      <c r="W93" s="36">
        <v>85558.441558441569</v>
      </c>
      <c r="X93" s="36">
        <v>85558.441558441569</v>
      </c>
      <c r="Y93" s="36">
        <v>85558.441558441569</v>
      </c>
      <c r="Z93" s="183"/>
    </row>
    <row r="94" spans="1:26" ht="15" thickBot="1">
      <c r="A94" s="288" t="s">
        <v>81</v>
      </c>
      <c r="B94" s="210"/>
      <c r="C94" s="210"/>
      <c r="D94" s="206" t="s">
        <v>1</v>
      </c>
      <c r="E94" s="36">
        <v>171116.88311688317</v>
      </c>
      <c r="F94" s="36">
        <v>205340.25974025979</v>
      </c>
      <c r="G94" s="36">
        <v>222451.9480519481</v>
      </c>
      <c r="H94" s="36">
        <v>239563.63636363641</v>
      </c>
      <c r="I94" s="36">
        <v>256675.32467532472</v>
      </c>
      <c r="J94" s="36">
        <v>85558.441558441569</v>
      </c>
      <c r="K94" s="36">
        <v>85558.441558441569</v>
      </c>
      <c r="L94" s="36">
        <v>85558.441558441569</v>
      </c>
      <c r="M94" s="36">
        <v>85558.441558441569</v>
      </c>
      <c r="N94" s="36">
        <v>85558.441558441569</v>
      </c>
      <c r="O94" s="36">
        <v>85558.441558441569</v>
      </c>
      <c r="P94" s="36">
        <v>85558.441558441569</v>
      </c>
      <c r="Q94" s="36">
        <v>85558.441558441569</v>
      </c>
      <c r="R94" s="36">
        <v>85558.441558441569</v>
      </c>
      <c r="S94" s="36">
        <v>85558.441558441569</v>
      </c>
      <c r="T94" s="36">
        <v>85558.441558441569</v>
      </c>
      <c r="U94" s="36">
        <v>85558.441558441569</v>
      </c>
      <c r="V94" s="36">
        <v>85558.441558441569</v>
      </c>
      <c r="W94" s="36">
        <v>85558.441558441569</v>
      </c>
      <c r="X94" s="36">
        <v>85558.441558441569</v>
      </c>
      <c r="Y94" s="36">
        <v>85558.441558441569</v>
      </c>
      <c r="Z94" s="183"/>
    </row>
    <row r="95" spans="1:26" ht="15" thickBot="1">
      <c r="A95" s="214" t="s">
        <v>82</v>
      </c>
      <c r="B95" s="210"/>
      <c r="C95" s="210"/>
      <c r="D95" s="206" t="s">
        <v>1</v>
      </c>
      <c r="E95" s="36">
        <v>1131858.2089211387</v>
      </c>
      <c r="F95" s="36">
        <v>2400609.9243357838</v>
      </c>
      <c r="G95" s="36">
        <v>3686473.328062118</v>
      </c>
      <c r="H95" s="36">
        <v>4972336.7317884509</v>
      </c>
      <c r="I95" s="36">
        <v>6258200.1355147855</v>
      </c>
      <c r="J95" s="36">
        <v>6429317.0186316688</v>
      </c>
      <c r="K95" s="36">
        <v>6429317.0186316688</v>
      </c>
      <c r="L95" s="36">
        <v>6429317.0186316688</v>
      </c>
      <c r="M95" s="36">
        <v>6429317.0186316688</v>
      </c>
      <c r="N95" s="36">
        <v>6429317.0186316688</v>
      </c>
      <c r="O95" s="36">
        <v>6429317.0186316688</v>
      </c>
      <c r="P95" s="36">
        <v>6429317.0186316688</v>
      </c>
      <c r="Q95" s="36">
        <v>6429317.0186316688</v>
      </c>
      <c r="R95" s="36">
        <v>6429317.0186316688</v>
      </c>
      <c r="S95" s="36">
        <v>6429317.0186316688</v>
      </c>
      <c r="T95" s="36">
        <v>6429317.0186316688</v>
      </c>
      <c r="U95" s="36">
        <v>6429317.0186316688</v>
      </c>
      <c r="V95" s="36">
        <v>6429317.0186316688</v>
      </c>
      <c r="W95" s="36">
        <v>6429317.0186316688</v>
      </c>
      <c r="X95" s="36">
        <v>6429317.0186316688</v>
      </c>
      <c r="Y95" s="36">
        <v>6429317.0186316688</v>
      </c>
      <c r="Z95" s="183"/>
    </row>
    <row r="96" spans="1:26">
      <c r="A96" s="215"/>
      <c r="B96" s="216"/>
      <c r="C96" s="216"/>
      <c r="D96" s="216"/>
      <c r="E96" s="297"/>
      <c r="F96" s="297"/>
      <c r="G96" s="297"/>
      <c r="H96" s="297"/>
      <c r="I96" s="297"/>
      <c r="J96" s="297"/>
      <c r="K96" s="297"/>
      <c r="L96" s="217"/>
      <c r="M96" s="217"/>
      <c r="N96" s="217"/>
      <c r="O96" s="217"/>
      <c r="P96" s="217"/>
      <c r="Q96" s="217"/>
      <c r="R96" s="217"/>
      <c r="S96" s="217"/>
      <c r="T96" s="217"/>
      <c r="U96" s="217"/>
      <c r="V96" s="217"/>
      <c r="W96" s="217"/>
      <c r="X96" s="218"/>
      <c r="Y96" s="219"/>
      <c r="Z96" s="183"/>
    </row>
    <row r="97" spans="1:26">
      <c r="A97" s="298"/>
      <c r="B97" s="299"/>
      <c r="C97" s="299"/>
      <c r="D97" s="299"/>
      <c r="E97" s="300"/>
      <c r="F97" s="300"/>
      <c r="G97" s="300"/>
      <c r="H97" s="300"/>
      <c r="I97" s="300"/>
      <c r="J97" s="300"/>
      <c r="K97" s="300"/>
      <c r="L97" s="301"/>
      <c r="M97" s="301"/>
      <c r="N97" s="301"/>
      <c r="O97" s="301"/>
      <c r="P97" s="301"/>
      <c r="Q97" s="301"/>
      <c r="R97" s="301"/>
      <c r="S97" s="301"/>
      <c r="T97" s="301"/>
      <c r="U97" s="301"/>
      <c r="V97" s="301"/>
      <c r="W97" s="301"/>
      <c r="X97" s="302"/>
      <c r="Y97" s="303"/>
      <c r="Z97" s="183"/>
    </row>
    <row r="98" spans="1:26" ht="15" thickBot="1">
      <c r="A98" s="304"/>
      <c r="B98" s="190"/>
      <c r="C98" s="190"/>
      <c r="D98" s="190"/>
      <c r="E98" s="300"/>
      <c r="F98" s="300"/>
      <c r="G98" s="300"/>
      <c r="H98" s="300"/>
      <c r="I98" s="300"/>
      <c r="J98" s="300"/>
      <c r="K98" s="300"/>
      <c r="L98" s="301"/>
      <c r="M98" s="301"/>
      <c r="N98" s="301"/>
      <c r="O98" s="301"/>
      <c r="P98" s="301"/>
      <c r="Q98" s="301"/>
      <c r="R98" s="301"/>
      <c r="S98" s="301"/>
      <c r="T98" s="301"/>
      <c r="U98" s="301"/>
      <c r="V98" s="301"/>
      <c r="W98" s="301"/>
      <c r="X98" s="302"/>
      <c r="Y98" s="303"/>
      <c r="Z98" s="183"/>
    </row>
    <row r="99" spans="1:26" ht="15" thickBot="1">
      <c r="A99" s="282" t="s">
        <v>85</v>
      </c>
      <c r="B99" s="356"/>
      <c r="C99" s="356"/>
      <c r="D99" s="357"/>
      <c r="E99" s="272"/>
      <c r="F99" s="305"/>
      <c r="G99" s="305"/>
      <c r="H99" s="305"/>
      <c r="I99" s="305"/>
      <c r="J99" s="305"/>
      <c r="K99" s="305"/>
      <c r="L99" s="306"/>
      <c r="M99" s="306"/>
      <c r="N99" s="306"/>
      <c r="O99" s="306"/>
      <c r="P99" s="306"/>
      <c r="Q99" s="306"/>
      <c r="R99" s="306"/>
      <c r="S99" s="306"/>
      <c r="T99" s="306"/>
      <c r="U99" s="306"/>
      <c r="V99" s="306"/>
      <c r="W99" s="306"/>
      <c r="X99" s="307"/>
      <c r="Y99" s="308"/>
      <c r="Z99" s="183"/>
    </row>
    <row r="100" spans="1:26" ht="15" thickBot="1">
      <c r="A100" s="349" t="s">
        <v>10</v>
      </c>
      <c r="B100" s="350"/>
      <c r="C100" s="358"/>
      <c r="D100" s="75">
        <v>0.06</v>
      </c>
      <c r="E100" s="309"/>
      <c r="F100" s="310"/>
      <c r="G100" s="310"/>
      <c r="H100" s="310"/>
      <c r="I100" s="310"/>
      <c r="J100" s="310"/>
      <c r="K100" s="310"/>
      <c r="L100" s="311"/>
      <c r="M100" s="311"/>
      <c r="N100" s="311"/>
      <c r="O100" s="311"/>
      <c r="P100" s="311"/>
      <c r="Q100" s="311"/>
      <c r="R100" s="311"/>
      <c r="S100" s="311"/>
      <c r="T100" s="311"/>
      <c r="U100" s="311"/>
      <c r="V100" s="311"/>
      <c r="W100" s="311"/>
      <c r="X100" s="312"/>
      <c r="Y100" s="313"/>
      <c r="Z100" s="183"/>
    </row>
    <row r="101" spans="1:26" ht="15" thickBot="1">
      <c r="A101" s="349" t="s">
        <v>23</v>
      </c>
      <c r="B101" s="350"/>
      <c r="C101" s="350"/>
      <c r="D101" s="351"/>
      <c r="E101" s="277"/>
      <c r="F101" s="310"/>
      <c r="G101" s="310"/>
      <c r="H101" s="310"/>
      <c r="I101" s="310"/>
      <c r="J101" s="310"/>
      <c r="K101" s="310"/>
      <c r="L101" s="311"/>
      <c r="M101" s="311"/>
      <c r="N101" s="311"/>
      <c r="O101" s="311"/>
      <c r="P101" s="311"/>
      <c r="Q101" s="311"/>
      <c r="R101" s="311"/>
      <c r="S101" s="311"/>
      <c r="T101" s="311"/>
      <c r="U101" s="311"/>
      <c r="V101" s="311"/>
      <c r="W101" s="311"/>
      <c r="X101" s="312"/>
      <c r="Y101" s="313"/>
      <c r="Z101" s="183"/>
    </row>
    <row r="102" spans="1:26" ht="15" thickBot="1">
      <c r="A102" s="353" t="s">
        <v>7</v>
      </c>
      <c r="B102" s="354"/>
      <c r="C102" s="359"/>
      <c r="D102" s="314">
        <v>63466962.612238564</v>
      </c>
      <c r="E102" s="259" t="s">
        <v>1</v>
      </c>
      <c r="F102" s="311"/>
      <c r="G102" s="311"/>
      <c r="H102" s="311"/>
      <c r="I102" s="311"/>
      <c r="J102" s="311"/>
      <c r="K102" s="311"/>
      <c r="L102" s="311"/>
      <c r="M102" s="311"/>
      <c r="N102" s="311"/>
      <c r="O102" s="311"/>
      <c r="P102" s="311"/>
      <c r="Q102" s="311"/>
      <c r="R102" s="311"/>
      <c r="S102" s="311"/>
      <c r="T102" s="311"/>
      <c r="U102" s="311"/>
      <c r="V102" s="311"/>
      <c r="W102" s="311"/>
      <c r="X102" s="312"/>
      <c r="Y102" s="313"/>
      <c r="Z102" s="183"/>
    </row>
    <row r="103" spans="1:26" ht="15" thickBot="1">
      <c r="A103" s="353" t="s">
        <v>8</v>
      </c>
      <c r="B103" s="354"/>
      <c r="C103" s="359"/>
      <c r="D103" s="81" t="e">
        <v>#DIV/0!</v>
      </c>
      <c r="E103" s="315" t="s">
        <v>24</v>
      </c>
      <c r="F103" s="311"/>
      <c r="G103" s="311"/>
      <c r="H103" s="311"/>
      <c r="I103" s="311"/>
      <c r="J103" s="311"/>
      <c r="K103" s="311"/>
      <c r="L103" s="311"/>
      <c r="M103" s="311"/>
      <c r="N103" s="311"/>
      <c r="O103" s="311"/>
      <c r="P103" s="311"/>
      <c r="Q103" s="311"/>
      <c r="R103" s="311"/>
      <c r="S103" s="311"/>
      <c r="T103" s="311"/>
      <c r="U103" s="311"/>
      <c r="V103" s="311"/>
      <c r="W103" s="311"/>
      <c r="X103" s="312"/>
      <c r="Y103" s="313"/>
      <c r="Z103" s="183"/>
    </row>
    <row r="104" spans="1:26" ht="15" thickBot="1">
      <c r="A104" s="353" t="s">
        <v>9</v>
      </c>
      <c r="B104" s="354"/>
      <c r="C104" s="359"/>
      <c r="D104" s="81" t="e">
        <v>#DIV/0!</v>
      </c>
      <c r="E104" s="259" t="s">
        <v>24</v>
      </c>
      <c r="F104" s="311"/>
      <c r="G104" s="311"/>
      <c r="H104" s="311"/>
      <c r="I104" s="311"/>
      <c r="J104" s="311"/>
      <c r="K104" s="311"/>
      <c r="L104" s="311"/>
      <c r="M104" s="311"/>
      <c r="N104" s="311"/>
      <c r="O104" s="311"/>
      <c r="P104" s="311"/>
      <c r="Q104" s="311"/>
      <c r="R104" s="311"/>
      <c r="S104" s="311"/>
      <c r="T104" s="311"/>
      <c r="U104" s="311"/>
      <c r="V104" s="311"/>
      <c r="W104" s="311"/>
      <c r="X104" s="312"/>
      <c r="Y104" s="313"/>
      <c r="Z104" s="183"/>
    </row>
    <row r="105" spans="1:26" ht="15" thickBot="1">
      <c r="A105" s="316" t="s">
        <v>25</v>
      </c>
      <c r="B105" s="317"/>
      <c r="C105" s="317"/>
      <c r="D105" s="178">
        <v>50.234763955603889</v>
      </c>
      <c r="E105" s="318"/>
      <c r="F105" s="319"/>
      <c r="G105" s="319"/>
      <c r="H105" s="319"/>
      <c r="I105" s="319"/>
      <c r="J105" s="319"/>
      <c r="K105" s="319"/>
      <c r="L105" s="319"/>
      <c r="M105" s="319"/>
      <c r="N105" s="319"/>
      <c r="O105" s="319"/>
      <c r="P105" s="319"/>
      <c r="Q105" s="319"/>
      <c r="R105" s="319"/>
      <c r="S105" s="319"/>
      <c r="T105" s="319"/>
      <c r="U105" s="319"/>
      <c r="V105" s="319"/>
      <c r="W105" s="319"/>
      <c r="X105" s="320"/>
      <c r="Y105" s="321"/>
      <c r="Z105" s="183"/>
    </row>
    <row r="106" spans="1:26" ht="15" thickBot="1">
      <c r="A106" s="322"/>
      <c r="B106" s="323"/>
      <c r="C106" s="323"/>
      <c r="D106" s="323"/>
      <c r="E106" s="324"/>
      <c r="F106" s="324"/>
      <c r="G106" s="324"/>
      <c r="H106" s="324"/>
      <c r="I106" s="324"/>
      <c r="J106" s="324"/>
      <c r="K106" s="324"/>
      <c r="L106" s="324"/>
      <c r="M106" s="324"/>
      <c r="N106" s="324"/>
      <c r="O106" s="324"/>
      <c r="P106" s="324"/>
      <c r="Q106" s="324"/>
      <c r="R106" s="324"/>
      <c r="S106" s="324"/>
      <c r="T106" s="324"/>
      <c r="U106" s="324"/>
      <c r="V106" s="324"/>
      <c r="W106" s="324"/>
      <c r="X106" s="325"/>
      <c r="Y106" s="326"/>
      <c r="Z106" s="183"/>
    </row>
    <row r="109" spans="1:26" s="102" customFormat="1" ht="12.75" customHeight="1" thickBot="1">
      <c r="B109" s="103" t="s">
        <v>26</v>
      </c>
      <c r="C109" s="104"/>
      <c r="D109" s="104"/>
      <c r="E109" s="104"/>
      <c r="F109" s="104"/>
      <c r="G109" s="104"/>
      <c r="H109" s="104"/>
      <c r="I109" s="104"/>
      <c r="J109" s="104"/>
      <c r="K109" s="104"/>
      <c r="L109" s="104"/>
      <c r="M109" s="104"/>
      <c r="N109" s="104"/>
      <c r="O109" s="104"/>
      <c r="P109" s="104"/>
      <c r="Q109" s="104"/>
      <c r="R109" s="104"/>
      <c r="S109" s="104"/>
      <c r="T109" s="104"/>
      <c r="U109" s="104"/>
      <c r="V109" s="105"/>
      <c r="W109" s="106"/>
      <c r="X109" s="107"/>
    </row>
    <row r="110" spans="1:26" s="102" customFormat="1" ht="12.75">
      <c r="B110" s="108" t="s">
        <v>27</v>
      </c>
      <c r="C110" s="109">
        <v>0</v>
      </c>
      <c r="D110" s="110">
        <v>1</v>
      </c>
      <c r="E110" s="110">
        <v>2</v>
      </c>
      <c r="F110" s="110">
        <v>3</v>
      </c>
      <c r="G110" s="110">
        <v>4</v>
      </c>
      <c r="H110" s="110">
        <v>5</v>
      </c>
      <c r="I110" s="110">
        <v>6</v>
      </c>
      <c r="J110" s="110">
        <v>7</v>
      </c>
      <c r="K110" s="110">
        <v>8</v>
      </c>
      <c r="L110" s="110">
        <v>9</v>
      </c>
      <c r="M110" s="110">
        <v>10</v>
      </c>
      <c r="N110" s="110">
        <v>11</v>
      </c>
      <c r="O110" s="110">
        <v>12</v>
      </c>
      <c r="P110" s="110">
        <v>13</v>
      </c>
      <c r="Q110" s="110">
        <v>14</v>
      </c>
      <c r="R110" s="110">
        <v>15</v>
      </c>
      <c r="S110" s="110">
        <v>16</v>
      </c>
      <c r="T110" s="110">
        <v>17</v>
      </c>
      <c r="U110" s="110">
        <v>18</v>
      </c>
      <c r="V110" s="110">
        <v>19</v>
      </c>
      <c r="W110" s="111">
        <v>20</v>
      </c>
      <c r="X110" s="107"/>
    </row>
    <row r="111" spans="1:26" s="102" customFormat="1" ht="12.75">
      <c r="B111" s="108" t="s">
        <v>28</v>
      </c>
      <c r="C111" s="112">
        <v>-855584.4155844159</v>
      </c>
      <c r="D111" s="113"/>
      <c r="E111" s="113"/>
      <c r="F111" s="113"/>
      <c r="G111" s="113"/>
      <c r="H111" s="113"/>
      <c r="I111" s="113"/>
      <c r="J111" s="113"/>
      <c r="K111" s="113"/>
      <c r="L111" s="113"/>
      <c r="M111" s="113"/>
      <c r="N111" s="113"/>
      <c r="O111" s="113"/>
      <c r="P111" s="113"/>
      <c r="Q111" s="113"/>
      <c r="R111" s="113"/>
      <c r="S111" s="113"/>
      <c r="T111" s="113"/>
      <c r="U111" s="113"/>
      <c r="V111" s="113"/>
      <c r="W111" s="114"/>
      <c r="X111" s="107"/>
    </row>
    <row r="112" spans="1:26" s="102" customFormat="1" ht="12.75">
      <c r="B112" s="108" t="s">
        <v>29</v>
      </c>
      <c r="D112" s="115">
        <v>1302975.0920380219</v>
      </c>
      <c r="E112" s="115">
        <v>2571726.807452667</v>
      </c>
      <c r="F112" s="115">
        <v>3857590.2111790013</v>
      </c>
      <c r="G112" s="115">
        <v>5143453.6149053341</v>
      </c>
      <c r="H112" s="115">
        <v>6429317.0186316688</v>
      </c>
      <c r="I112" s="115">
        <v>6429317.0186316688</v>
      </c>
      <c r="J112" s="115">
        <v>6514875.4601901099</v>
      </c>
      <c r="K112" s="115">
        <v>6514875.4601901099</v>
      </c>
      <c r="L112" s="115">
        <v>6514875.4601901099</v>
      </c>
      <c r="M112" s="115">
        <v>6514875.4601901099</v>
      </c>
      <c r="N112" s="115">
        <v>6514875.4601901099</v>
      </c>
      <c r="O112" s="115">
        <v>6514875.4601901099</v>
      </c>
      <c r="P112" s="115">
        <v>6514875.4601901099</v>
      </c>
      <c r="Q112" s="115">
        <v>6514875.4601901099</v>
      </c>
      <c r="R112" s="115">
        <v>6514875.4601901099</v>
      </c>
      <c r="S112" s="115">
        <v>6514875.4601901099</v>
      </c>
      <c r="T112" s="115">
        <v>6514875.4601901099</v>
      </c>
      <c r="U112" s="115">
        <v>6514875.4601901099</v>
      </c>
      <c r="V112" s="115">
        <v>6514875.4601901099</v>
      </c>
      <c r="W112" s="115">
        <v>6514875.4601901099</v>
      </c>
      <c r="X112" s="107"/>
    </row>
    <row r="113" spans="1:24" s="102" customFormat="1" ht="13.5" thickBot="1">
      <c r="B113" s="108" t="s">
        <v>30</v>
      </c>
      <c r="C113" s="117">
        <v>-855584.4155844159</v>
      </c>
      <c r="D113" s="118">
        <v>447390.67645360599</v>
      </c>
      <c r="E113" s="118">
        <v>3019117.4839062728</v>
      </c>
      <c r="F113" s="118">
        <v>6876707.6950852741</v>
      </c>
      <c r="G113" s="118">
        <v>12020161.309990607</v>
      </c>
      <c r="H113" s="118">
        <v>18449478.328622274</v>
      </c>
      <c r="I113" s="118">
        <v>24878795.347253941</v>
      </c>
      <c r="J113" s="118">
        <v>31393670.807444051</v>
      </c>
      <c r="K113" s="118">
        <v>37908546.267634161</v>
      </c>
      <c r="L113" s="118">
        <v>44423421.727824271</v>
      </c>
      <c r="M113" s="118">
        <v>50938297.188014381</v>
      </c>
      <c r="N113" s="118">
        <v>57453172.648204491</v>
      </c>
      <c r="O113" s="118">
        <v>63968048.1083946</v>
      </c>
      <c r="P113" s="118">
        <v>70482923.56858471</v>
      </c>
      <c r="Q113" s="118">
        <v>76997799.028774828</v>
      </c>
      <c r="R113" s="118">
        <v>83512674.488964945</v>
      </c>
      <c r="S113" s="118">
        <v>90027549.949155062</v>
      </c>
      <c r="T113" s="118">
        <v>96542425.40934518</v>
      </c>
      <c r="U113" s="118">
        <v>103057300.8695353</v>
      </c>
      <c r="V113" s="118">
        <v>109572176.32972541</v>
      </c>
      <c r="W113" s="119">
        <v>116087051.78991553</v>
      </c>
      <c r="X113" s="107"/>
    </row>
    <row r="114" spans="1:24" s="128" customFormat="1">
      <c r="A114" s="120"/>
      <c r="B114" s="121"/>
      <c r="C114" s="122"/>
      <c r="D114" s="123"/>
      <c r="E114" s="124"/>
      <c r="F114" s="124"/>
      <c r="G114" s="124"/>
      <c r="H114" s="124"/>
      <c r="I114" s="124"/>
      <c r="J114" s="124"/>
      <c r="K114" s="124"/>
      <c r="L114" s="124"/>
      <c r="M114" s="124"/>
      <c r="N114" s="124"/>
      <c r="O114" s="124"/>
      <c r="P114" s="124"/>
      <c r="Q114" s="124"/>
      <c r="R114" s="124"/>
      <c r="S114" s="124"/>
      <c r="T114" s="124"/>
      <c r="U114" s="124"/>
      <c r="V114" s="125"/>
      <c r="W114" s="126"/>
      <c r="X114" s="127"/>
    </row>
    <row r="115" spans="1:24" s="128" customFormat="1" ht="15" thickBot="1">
      <c r="B115" s="129" t="s">
        <v>31</v>
      </c>
      <c r="C115" s="130">
        <v>2.1304139654092187</v>
      </c>
      <c r="D115" s="127"/>
      <c r="V115" s="121"/>
      <c r="W115" s="126"/>
      <c r="X115" s="127"/>
    </row>
  </sheetData>
  <pageMargins left="0.7" right="0.7" top="0.75" bottom="0.75" header="0.3" footer="0.3"/>
</worksheet>
</file>

<file path=xl/worksheets/sheet24.xml><?xml version="1.0" encoding="utf-8"?>
<worksheet xmlns="http://schemas.openxmlformats.org/spreadsheetml/2006/main" xmlns:r="http://schemas.openxmlformats.org/officeDocument/2006/relationships">
  <dimension ref="A1:X52"/>
  <sheetViews>
    <sheetView topLeftCell="A8" zoomScale="70" zoomScaleNormal="70" workbookViewId="0">
      <selection sqref="A1:XFD1048576"/>
    </sheetView>
  </sheetViews>
  <sheetFormatPr defaultColWidth="9" defaultRowHeight="15"/>
  <cols>
    <col min="1" max="1" width="65.28515625" style="98" customWidth="1"/>
    <col min="2" max="2" width="13.5703125" style="98" customWidth="1"/>
    <col min="3" max="6" width="19.5703125" style="98" bestFit="1" customWidth="1"/>
    <col min="7" max="21" width="14.85546875" style="98" customWidth="1"/>
    <col min="22" max="22" width="14.85546875" style="99" customWidth="1"/>
    <col min="23" max="23" width="14.85546875" style="100" customWidth="1"/>
    <col min="24" max="24" width="9" style="101"/>
    <col min="25" max="16384" width="9" style="98"/>
  </cols>
  <sheetData>
    <row r="1" spans="1:24" s="18" customFormat="1" ht="15.75" thickBot="1">
      <c r="A1" s="131" t="s">
        <v>32</v>
      </c>
      <c r="B1" s="132"/>
      <c r="C1" s="132"/>
      <c r="D1" s="132"/>
      <c r="E1" s="132"/>
      <c r="F1" s="132"/>
      <c r="G1" s="132"/>
      <c r="H1" s="132"/>
      <c r="I1" s="132"/>
      <c r="J1" s="132"/>
      <c r="K1" s="132"/>
      <c r="L1" s="132"/>
      <c r="M1" s="132"/>
      <c r="N1" s="132"/>
      <c r="O1" s="132"/>
      <c r="P1" s="132"/>
      <c r="Q1" s="132"/>
      <c r="R1" s="132"/>
      <c r="S1" s="132"/>
      <c r="T1" s="132"/>
      <c r="U1" s="132"/>
      <c r="V1" s="132"/>
      <c r="W1" s="133"/>
      <c r="X1" s="17"/>
    </row>
    <row r="2" spans="1:24" s="18" customFormat="1" ht="14.25">
      <c r="A2" s="19"/>
      <c r="B2" s="20" t="s">
        <v>12</v>
      </c>
      <c r="C2" s="20"/>
      <c r="D2" s="20"/>
      <c r="E2" s="20"/>
      <c r="F2" s="20"/>
      <c r="G2" s="20"/>
      <c r="H2" s="20"/>
      <c r="I2" s="20"/>
      <c r="J2" s="20"/>
      <c r="K2" s="20"/>
      <c r="L2" s="20"/>
      <c r="M2" s="20"/>
      <c r="N2" s="20"/>
      <c r="O2" s="20"/>
      <c r="P2" s="20"/>
      <c r="Q2" s="20"/>
      <c r="R2" s="20"/>
      <c r="S2" s="20"/>
      <c r="T2" s="20"/>
      <c r="U2" s="20"/>
      <c r="V2" s="21"/>
      <c r="W2" s="22"/>
      <c r="X2" s="17"/>
    </row>
    <row r="3" spans="1:24" s="18" customFormat="1" ht="14.25">
      <c r="A3" s="23"/>
      <c r="B3" s="24"/>
      <c r="C3" s="25">
        <v>2023</v>
      </c>
      <c r="D3" s="25">
        <v>2024</v>
      </c>
      <c r="E3" s="25">
        <v>2025</v>
      </c>
      <c r="F3" s="25">
        <v>2026</v>
      </c>
      <c r="G3" s="25">
        <v>2027</v>
      </c>
      <c r="H3" s="25">
        <v>2028</v>
      </c>
      <c r="I3" s="25">
        <v>2029</v>
      </c>
      <c r="J3" s="25">
        <v>2030</v>
      </c>
      <c r="K3" s="25">
        <v>2031</v>
      </c>
      <c r="L3" s="25">
        <v>2032</v>
      </c>
      <c r="M3" s="25">
        <v>2033</v>
      </c>
      <c r="N3" s="25">
        <v>2034</v>
      </c>
      <c r="O3" s="25">
        <v>2035</v>
      </c>
      <c r="P3" s="25">
        <v>2036</v>
      </c>
      <c r="Q3" s="25">
        <v>2037</v>
      </c>
      <c r="R3" s="25">
        <v>2038</v>
      </c>
      <c r="S3" s="25">
        <v>2039</v>
      </c>
      <c r="T3" s="25">
        <v>2040</v>
      </c>
      <c r="U3" s="25">
        <v>2041</v>
      </c>
      <c r="V3" s="26">
        <v>2042</v>
      </c>
      <c r="W3" s="27"/>
      <c r="X3" s="17"/>
    </row>
    <row r="4" spans="1:24" s="18" customFormat="1" ht="14.25">
      <c r="A4" s="28" t="s">
        <v>88</v>
      </c>
      <c r="B4" s="29"/>
      <c r="C4" s="30"/>
      <c r="D4" s="30"/>
      <c r="E4" s="30"/>
      <c r="F4" s="30"/>
      <c r="G4" s="30"/>
      <c r="H4" s="30"/>
      <c r="I4" s="30"/>
      <c r="J4" s="31"/>
      <c r="K4" s="32"/>
      <c r="L4" s="32"/>
      <c r="M4" s="32"/>
      <c r="N4" s="32"/>
      <c r="O4" s="32"/>
      <c r="P4" s="32"/>
      <c r="Q4" s="32"/>
      <c r="R4" s="32"/>
      <c r="S4" s="32"/>
      <c r="T4" s="32"/>
      <c r="U4" s="32"/>
      <c r="V4" s="33"/>
      <c r="W4" s="34"/>
      <c r="X4" s="17"/>
    </row>
    <row r="5" spans="1:24" s="18" customFormat="1" ht="14.25">
      <c r="A5" s="28" t="s">
        <v>13</v>
      </c>
      <c r="B5" s="35" t="s">
        <v>1</v>
      </c>
      <c r="C5" s="36">
        <v>12470.314280193239</v>
      </c>
      <c r="D5" s="36">
        <v>45105.392077294688</v>
      </c>
      <c r="E5" s="36">
        <v>67658.088115942039</v>
      </c>
      <c r="F5" s="36">
        <v>130540.3111884058</v>
      </c>
      <c r="G5" s="36">
        <v>163175.38898550725</v>
      </c>
      <c r="H5" s="36">
        <v>195810.46678260871</v>
      </c>
      <c r="I5" s="36">
        <v>195810.46678260871</v>
      </c>
      <c r="J5" s="36">
        <v>195810.46678260871</v>
      </c>
      <c r="K5" s="36">
        <v>195810.46678260871</v>
      </c>
      <c r="L5" s="36">
        <v>195810.46678260871</v>
      </c>
      <c r="M5" s="36">
        <v>195810.46678260871</v>
      </c>
      <c r="N5" s="36">
        <v>195810.46678260871</v>
      </c>
      <c r="O5" s="36">
        <v>195810.46678260871</v>
      </c>
      <c r="P5" s="36">
        <v>195810.46678260871</v>
      </c>
      <c r="Q5" s="36">
        <v>195810.46678260871</v>
      </c>
      <c r="R5" s="36">
        <v>195810.46678260871</v>
      </c>
      <c r="S5" s="36">
        <v>195810.46678260871</v>
      </c>
      <c r="T5" s="36">
        <v>195810.46678260871</v>
      </c>
      <c r="U5" s="36">
        <v>195810.46678260871</v>
      </c>
      <c r="V5" s="37">
        <v>195810.46678260871</v>
      </c>
      <c r="W5" s="5"/>
      <c r="X5" s="17"/>
    </row>
    <row r="6" spans="1:24" s="18" customFormat="1" ht="14.25">
      <c r="A6" s="38" t="s">
        <v>14</v>
      </c>
      <c r="B6" s="35" t="s">
        <v>1</v>
      </c>
      <c r="C6" s="36">
        <v>2799.7707008547013</v>
      </c>
      <c r="D6" s="36">
        <v>8784.9092649572667</v>
      </c>
      <c r="E6" s="36">
        <v>37067.622871794876</v>
      </c>
      <c r="F6" s="36">
        <v>62164.96861538462</v>
      </c>
      <c r="G6" s="36">
        <v>77706.210769230776</v>
      </c>
      <c r="H6" s="36">
        <v>93247.45292307694</v>
      </c>
      <c r="I6" s="36">
        <v>93247.45292307694</v>
      </c>
      <c r="J6" s="36">
        <v>93247.45292307694</v>
      </c>
      <c r="K6" s="36">
        <v>93247.45292307694</v>
      </c>
      <c r="L6" s="36">
        <v>93247.45292307694</v>
      </c>
      <c r="M6" s="36">
        <v>93247.45292307694</v>
      </c>
      <c r="N6" s="36">
        <v>93247.45292307694</v>
      </c>
      <c r="O6" s="36">
        <v>93247.45292307694</v>
      </c>
      <c r="P6" s="36">
        <v>93247.45292307694</v>
      </c>
      <c r="Q6" s="36">
        <v>93247.45292307694</v>
      </c>
      <c r="R6" s="36">
        <v>93247.45292307694</v>
      </c>
      <c r="S6" s="36">
        <v>93247.45292307694</v>
      </c>
      <c r="T6" s="36">
        <v>93247.45292307694</v>
      </c>
      <c r="U6" s="36">
        <v>93247.45292307694</v>
      </c>
      <c r="V6" s="37">
        <v>93247.45292307694</v>
      </c>
      <c r="W6" s="5"/>
      <c r="X6" s="17"/>
    </row>
    <row r="7" spans="1:24" s="18" customFormat="1" ht="14.25">
      <c r="A7" s="38" t="s">
        <v>15</v>
      </c>
      <c r="B7" s="35" t="s">
        <v>1</v>
      </c>
      <c r="C7" s="36">
        <v>4438.1776161616162</v>
      </c>
      <c r="D7" s="36">
        <v>20922.837333333333</v>
      </c>
      <c r="E7" s="36">
        <v>40419.117575757577</v>
      </c>
      <c r="F7" s="36">
        <v>90031.603070707075</v>
      </c>
      <c r="G7" s="36">
        <v>112539.50383838384</v>
      </c>
      <c r="H7" s="36">
        <v>135047.40460606062</v>
      </c>
      <c r="I7" s="36">
        <v>135047.40460606062</v>
      </c>
      <c r="J7" s="36">
        <v>135047.40460606062</v>
      </c>
      <c r="K7" s="36">
        <v>135047.40460606062</v>
      </c>
      <c r="L7" s="36">
        <v>135047.40460606062</v>
      </c>
      <c r="M7" s="36">
        <v>135047.40460606062</v>
      </c>
      <c r="N7" s="36">
        <v>135047.40460606062</v>
      </c>
      <c r="O7" s="36">
        <v>135047.40460606062</v>
      </c>
      <c r="P7" s="36">
        <v>135047.40460606062</v>
      </c>
      <c r="Q7" s="36">
        <v>135047.40460606062</v>
      </c>
      <c r="R7" s="36">
        <v>135047.40460606062</v>
      </c>
      <c r="S7" s="36">
        <v>135047.40460606062</v>
      </c>
      <c r="T7" s="36">
        <v>135047.40460606062</v>
      </c>
      <c r="U7" s="36">
        <v>135047.40460606062</v>
      </c>
      <c r="V7" s="37">
        <v>135047.40460606062</v>
      </c>
      <c r="W7" s="5"/>
      <c r="X7" s="17"/>
    </row>
    <row r="8" spans="1:24" s="18" customFormat="1" ht="14.25">
      <c r="A8" s="39" t="s">
        <v>16</v>
      </c>
      <c r="B8" s="40" t="s">
        <v>1</v>
      </c>
      <c r="C8" s="36">
        <v>3218.8980512820517</v>
      </c>
      <c r="D8" s="36">
        <v>31920.739008547011</v>
      </c>
      <c r="E8" s="36">
        <v>66993.315692307704</v>
      </c>
      <c r="F8" s="36">
        <v>114807.36382905985</v>
      </c>
      <c r="G8" s="36">
        <v>143509.20478632479</v>
      </c>
      <c r="H8" s="36">
        <v>172211.04574358976</v>
      </c>
      <c r="I8" s="36">
        <v>172211.04574358976</v>
      </c>
      <c r="J8" s="36">
        <v>172211.04574358976</v>
      </c>
      <c r="K8" s="36">
        <v>172211.04574358976</v>
      </c>
      <c r="L8" s="36">
        <v>172211.04574358976</v>
      </c>
      <c r="M8" s="36">
        <v>172211.04574358976</v>
      </c>
      <c r="N8" s="36">
        <v>172211.04574358976</v>
      </c>
      <c r="O8" s="36">
        <v>172211.04574358976</v>
      </c>
      <c r="P8" s="36">
        <v>172211.04574358976</v>
      </c>
      <c r="Q8" s="36">
        <v>172211.04574358976</v>
      </c>
      <c r="R8" s="36">
        <v>172211.04574358976</v>
      </c>
      <c r="S8" s="36">
        <v>172211.04574358976</v>
      </c>
      <c r="T8" s="36">
        <v>172211.04574358976</v>
      </c>
      <c r="U8" s="36">
        <v>172211.04574358976</v>
      </c>
      <c r="V8" s="37">
        <v>172211.04574358976</v>
      </c>
      <c r="W8" s="5"/>
      <c r="X8" s="17"/>
    </row>
    <row r="9" spans="1:24" s="18" customFormat="1" ht="14.25">
      <c r="A9" s="39" t="s">
        <v>17</v>
      </c>
      <c r="B9" s="40" t="s">
        <v>1</v>
      </c>
      <c r="C9" s="36">
        <v>34091.818683760685</v>
      </c>
      <c r="D9" s="36">
        <v>80505.981470085462</v>
      </c>
      <c r="E9" s="36">
        <v>139242.48835897434</v>
      </c>
      <c r="F9" s="36">
        <v>234946.0275555556</v>
      </c>
      <c r="G9" s="36">
        <v>293682.53444444452</v>
      </c>
      <c r="H9" s="36">
        <v>352419.04133333341</v>
      </c>
      <c r="I9" s="36">
        <v>352419.04133333341</v>
      </c>
      <c r="J9" s="36">
        <v>352419.04133333341</v>
      </c>
      <c r="K9" s="36">
        <v>352419.04133333341</v>
      </c>
      <c r="L9" s="36">
        <v>352419.04133333341</v>
      </c>
      <c r="M9" s="36">
        <v>352419.04133333341</v>
      </c>
      <c r="N9" s="36">
        <v>352419.04133333341</v>
      </c>
      <c r="O9" s="36">
        <v>352419.04133333341</v>
      </c>
      <c r="P9" s="36">
        <v>352419.04133333341</v>
      </c>
      <c r="Q9" s="36">
        <v>352419.04133333341</v>
      </c>
      <c r="R9" s="36">
        <v>352419.04133333341</v>
      </c>
      <c r="S9" s="36">
        <v>352419.04133333341</v>
      </c>
      <c r="T9" s="36">
        <v>352419.04133333341</v>
      </c>
      <c r="U9" s="36">
        <v>352419.04133333341</v>
      </c>
      <c r="V9" s="37">
        <v>352419.04133333341</v>
      </c>
      <c r="W9" s="5"/>
      <c r="X9" s="17"/>
    </row>
    <row r="10" spans="1:24" s="18" customFormat="1" thickBot="1">
      <c r="A10" s="360" t="s">
        <v>50</v>
      </c>
      <c r="B10" s="42" t="s">
        <v>1</v>
      </c>
      <c r="C10" s="145">
        <v>71457.777777777781</v>
      </c>
      <c r="D10" s="145">
        <v>142915.55555555556</v>
      </c>
      <c r="E10" s="145">
        <v>214373.33333333334</v>
      </c>
      <c r="F10" s="145">
        <v>285831.11111111112</v>
      </c>
      <c r="G10" s="145">
        <v>357288.88888888888</v>
      </c>
      <c r="H10" s="145">
        <v>428746.66666666669</v>
      </c>
      <c r="I10" s="145">
        <v>428746.66666666669</v>
      </c>
      <c r="J10" s="145">
        <v>428746.66666666669</v>
      </c>
      <c r="K10" s="145">
        <v>428746.66666666669</v>
      </c>
      <c r="L10" s="145">
        <v>428746.66666666669</v>
      </c>
      <c r="M10" s="145">
        <v>428746.66666666669</v>
      </c>
      <c r="N10" s="145">
        <v>428746.66666666669</v>
      </c>
      <c r="O10" s="145">
        <v>428746.66666666669</v>
      </c>
      <c r="P10" s="145">
        <v>428746.66666666669</v>
      </c>
      <c r="Q10" s="145">
        <v>428746.66666666669</v>
      </c>
      <c r="R10" s="145">
        <v>428746.66666666669</v>
      </c>
      <c r="S10" s="145">
        <v>428746.66666666669</v>
      </c>
      <c r="T10" s="145">
        <v>428746.66666666669</v>
      </c>
      <c r="U10" s="145">
        <v>428746.66666666669</v>
      </c>
      <c r="V10" s="146">
        <v>428746.66666666669</v>
      </c>
      <c r="W10" s="5"/>
      <c r="X10" s="17"/>
    </row>
    <row r="11" spans="1:24" s="48" customFormat="1" thickBot="1">
      <c r="A11" s="361" t="s">
        <v>19</v>
      </c>
      <c r="B11" s="44" t="s">
        <v>1</v>
      </c>
      <c r="C11" s="362">
        <v>128476.75711003007</v>
      </c>
      <c r="D11" s="362">
        <v>330155.41470977332</v>
      </c>
      <c r="E11" s="362">
        <v>565753.96594810986</v>
      </c>
      <c r="F11" s="362">
        <v>918321.38537022402</v>
      </c>
      <c r="G11" s="362">
        <v>1147901.73171278</v>
      </c>
      <c r="H11" s="362">
        <v>1377482.0780553361</v>
      </c>
      <c r="I11" s="362">
        <v>1377482.0780553361</v>
      </c>
      <c r="J11" s="362">
        <v>1377482.0780553361</v>
      </c>
      <c r="K11" s="362">
        <v>1377482.0780553361</v>
      </c>
      <c r="L11" s="362">
        <v>1377482.0780553361</v>
      </c>
      <c r="M11" s="362">
        <v>1377482.0780553361</v>
      </c>
      <c r="N11" s="362">
        <v>1377482.0780553361</v>
      </c>
      <c r="O11" s="362">
        <v>1377482.0780553361</v>
      </c>
      <c r="P11" s="362">
        <v>1377482.0780553361</v>
      </c>
      <c r="Q11" s="362">
        <v>1377482.0780553361</v>
      </c>
      <c r="R11" s="362">
        <v>1377482.0780553361</v>
      </c>
      <c r="S11" s="362">
        <v>1377482.0780553361</v>
      </c>
      <c r="T11" s="362">
        <v>1377482.0780553361</v>
      </c>
      <c r="U11" s="362">
        <v>1377482.0780553361</v>
      </c>
      <c r="V11" s="363">
        <v>1377482.0780553361</v>
      </c>
      <c r="W11" s="14"/>
      <c r="X11" s="47"/>
    </row>
    <row r="12" spans="1:24" s="18" customFormat="1" ht="14.25">
      <c r="A12" s="49" t="s">
        <v>3</v>
      </c>
      <c r="B12" s="144"/>
      <c r="C12" s="36"/>
      <c r="D12" s="36"/>
      <c r="E12" s="36"/>
      <c r="F12" s="36"/>
      <c r="G12" s="36"/>
      <c r="H12" s="36"/>
      <c r="I12" s="36"/>
      <c r="J12" s="36"/>
      <c r="K12" s="36"/>
      <c r="L12" s="36"/>
      <c r="M12" s="36"/>
      <c r="N12" s="36"/>
      <c r="O12" s="36"/>
      <c r="P12" s="36"/>
      <c r="Q12" s="36"/>
      <c r="R12" s="36"/>
      <c r="S12" s="36"/>
      <c r="T12" s="36"/>
      <c r="U12" s="36"/>
      <c r="V12" s="37"/>
      <c r="W12" s="5"/>
      <c r="X12" s="17"/>
    </row>
    <row r="13" spans="1:24" s="18" customFormat="1" ht="14.25">
      <c r="A13" s="51" t="s">
        <v>20</v>
      </c>
      <c r="B13" s="35" t="s">
        <v>1</v>
      </c>
      <c r="C13" s="36">
        <v>267966.66666666669</v>
      </c>
      <c r="D13" s="36">
        <v>267966.66666666669</v>
      </c>
      <c r="E13" s="36">
        <v>267966.66666666669</v>
      </c>
      <c r="F13" s="36">
        <v>267966.66666666669</v>
      </c>
      <c r="G13" s="36">
        <v>267966.66666666669</v>
      </c>
      <c r="H13" s="36">
        <v>267966.66666666669</v>
      </c>
      <c r="I13" s="36"/>
      <c r="J13" s="36"/>
      <c r="K13" s="36"/>
      <c r="L13" s="36"/>
      <c r="M13" s="36"/>
      <c r="N13" s="36"/>
      <c r="O13" s="36"/>
      <c r="P13" s="36"/>
      <c r="Q13" s="36"/>
      <c r="R13" s="36"/>
      <c r="S13" s="36"/>
      <c r="T13" s="36"/>
      <c r="U13" s="36"/>
      <c r="V13" s="37"/>
      <c r="W13" s="5"/>
      <c r="X13" s="17"/>
    </row>
    <row r="14" spans="1:24" s="18" customFormat="1" ht="14.25">
      <c r="A14" s="51" t="s">
        <v>13</v>
      </c>
      <c r="B14" s="35" t="s">
        <v>1</v>
      </c>
      <c r="C14" s="36">
        <v>25495.840692045058</v>
      </c>
      <c r="D14" s="36">
        <v>50991.681384090116</v>
      </c>
      <c r="E14" s="36">
        <v>76487.522076135181</v>
      </c>
      <c r="F14" s="36">
        <v>101983.36276818023</v>
      </c>
      <c r="G14" s="36">
        <v>127479.20346022528</v>
      </c>
      <c r="H14" s="36">
        <v>152975.04415227036</v>
      </c>
      <c r="I14" s="36">
        <v>152975.04415227036</v>
      </c>
      <c r="J14" s="36">
        <v>152975.04415227036</v>
      </c>
      <c r="K14" s="36">
        <v>152975.04415227036</v>
      </c>
      <c r="L14" s="36">
        <v>152975.04415227036</v>
      </c>
      <c r="M14" s="36">
        <v>152975.04415227036</v>
      </c>
      <c r="N14" s="36">
        <v>152975.04415227036</v>
      </c>
      <c r="O14" s="36">
        <v>152975.04415227036</v>
      </c>
      <c r="P14" s="36">
        <v>152975.04415227036</v>
      </c>
      <c r="Q14" s="36">
        <v>152975.04415227036</v>
      </c>
      <c r="R14" s="36">
        <v>152975.04415227036</v>
      </c>
      <c r="S14" s="36">
        <v>152975.04415227036</v>
      </c>
      <c r="T14" s="36">
        <v>152975.04415227036</v>
      </c>
      <c r="U14" s="36">
        <v>152975.04415227036</v>
      </c>
      <c r="V14" s="37">
        <v>152975.04415227036</v>
      </c>
      <c r="W14" s="5"/>
      <c r="X14" s="17"/>
    </row>
    <row r="15" spans="1:24" s="48" customFormat="1" ht="14.25">
      <c r="A15" s="38" t="s">
        <v>14</v>
      </c>
      <c r="B15" s="35" t="s">
        <v>1</v>
      </c>
      <c r="C15" s="36">
        <v>11626.180508965499</v>
      </c>
      <c r="D15" s="36">
        <v>23252.361017930998</v>
      </c>
      <c r="E15" s="36">
        <v>34878.541526896501</v>
      </c>
      <c r="F15" s="36">
        <v>46504.722035861996</v>
      </c>
      <c r="G15" s="36">
        <v>58130.902544827506</v>
      </c>
      <c r="H15" s="36">
        <v>69757.083053793001</v>
      </c>
      <c r="I15" s="36">
        <v>69757.083053793001</v>
      </c>
      <c r="J15" s="36">
        <v>69757.083053793001</v>
      </c>
      <c r="K15" s="36">
        <v>69757.083053793001</v>
      </c>
      <c r="L15" s="36">
        <v>69757.083053793001</v>
      </c>
      <c r="M15" s="36">
        <v>69757.083053793001</v>
      </c>
      <c r="N15" s="36">
        <v>69757.083053793001</v>
      </c>
      <c r="O15" s="36">
        <v>69757.083053793001</v>
      </c>
      <c r="P15" s="36">
        <v>69757.083053793001</v>
      </c>
      <c r="Q15" s="36">
        <v>69757.083053793001</v>
      </c>
      <c r="R15" s="36">
        <v>69757.083053793001</v>
      </c>
      <c r="S15" s="36">
        <v>69757.083053793001</v>
      </c>
      <c r="T15" s="36">
        <v>69757.083053793001</v>
      </c>
      <c r="U15" s="36">
        <v>69757.083053793001</v>
      </c>
      <c r="V15" s="37">
        <v>69757.083053793001</v>
      </c>
      <c r="W15" s="5"/>
      <c r="X15" s="47"/>
    </row>
    <row r="16" spans="1:24" s="48" customFormat="1" ht="14.25">
      <c r="A16" s="38" t="s">
        <v>15</v>
      </c>
      <c r="B16" s="35" t="s">
        <v>1</v>
      </c>
      <c r="C16" s="36">
        <v>15235.206916534084</v>
      </c>
      <c r="D16" s="36">
        <v>30470.413833068167</v>
      </c>
      <c r="E16" s="36">
        <v>45705.620749602254</v>
      </c>
      <c r="F16" s="36">
        <v>60940.827666136334</v>
      </c>
      <c r="G16" s="36">
        <v>76176.034582670429</v>
      </c>
      <c r="H16" s="36">
        <v>91411.241499204509</v>
      </c>
      <c r="I16" s="36">
        <v>91411.241499204509</v>
      </c>
      <c r="J16" s="36">
        <v>91411.241499204509</v>
      </c>
      <c r="K16" s="36">
        <v>91411.241499204509</v>
      </c>
      <c r="L16" s="36">
        <v>91411.241499204509</v>
      </c>
      <c r="M16" s="36">
        <v>91411.241499204509</v>
      </c>
      <c r="N16" s="36">
        <v>91411.241499204509</v>
      </c>
      <c r="O16" s="36">
        <v>91411.241499204509</v>
      </c>
      <c r="P16" s="36">
        <v>91411.241499204509</v>
      </c>
      <c r="Q16" s="36">
        <v>91411.241499204509</v>
      </c>
      <c r="R16" s="36">
        <v>91411.241499204509</v>
      </c>
      <c r="S16" s="36">
        <v>91411.241499204509</v>
      </c>
      <c r="T16" s="36">
        <v>91411.241499204509</v>
      </c>
      <c r="U16" s="36">
        <v>91411.241499204509</v>
      </c>
      <c r="V16" s="37">
        <v>91411.241499204509</v>
      </c>
      <c r="W16" s="5"/>
      <c r="X16" s="47"/>
    </row>
    <row r="17" spans="1:24" s="48" customFormat="1" ht="14.25">
      <c r="A17" s="39" t="s">
        <v>16</v>
      </c>
      <c r="B17" s="40" t="s">
        <v>1</v>
      </c>
      <c r="C17" s="36">
        <v>22392.560898920252</v>
      </c>
      <c r="D17" s="36">
        <v>44785.121797840504</v>
      </c>
      <c r="E17" s="36">
        <v>67177.682696760792</v>
      </c>
      <c r="F17" s="36">
        <v>89570.243595681008</v>
      </c>
      <c r="G17" s="36">
        <v>111962.8044946013</v>
      </c>
      <c r="H17" s="36">
        <v>134355.36539352158</v>
      </c>
      <c r="I17" s="36">
        <v>134355.36539352158</v>
      </c>
      <c r="J17" s="36">
        <v>134355.36539352158</v>
      </c>
      <c r="K17" s="36">
        <v>134355.36539352158</v>
      </c>
      <c r="L17" s="36">
        <v>134355.36539352158</v>
      </c>
      <c r="M17" s="36">
        <v>134355.36539352158</v>
      </c>
      <c r="N17" s="36">
        <v>134355.36539352158</v>
      </c>
      <c r="O17" s="36">
        <v>134355.36539352158</v>
      </c>
      <c r="P17" s="36">
        <v>134355.36539352158</v>
      </c>
      <c r="Q17" s="36">
        <v>134355.36539352158</v>
      </c>
      <c r="R17" s="36">
        <v>134355.36539352158</v>
      </c>
      <c r="S17" s="36">
        <v>134355.36539352158</v>
      </c>
      <c r="T17" s="36">
        <v>134355.36539352158</v>
      </c>
      <c r="U17" s="36">
        <v>134355.36539352158</v>
      </c>
      <c r="V17" s="37">
        <v>134355.36539352158</v>
      </c>
      <c r="W17" s="5"/>
      <c r="X17" s="47"/>
    </row>
    <row r="18" spans="1:24" s="18" customFormat="1" thickBot="1">
      <c r="A18" s="39" t="s">
        <v>17</v>
      </c>
      <c r="B18" s="40" t="s">
        <v>1</v>
      </c>
      <c r="C18" s="145">
        <v>53130.998501103386</v>
      </c>
      <c r="D18" s="145">
        <v>106261.99700220677</v>
      </c>
      <c r="E18" s="145">
        <v>159392.99550331014</v>
      </c>
      <c r="F18" s="145">
        <v>212523.99400441354</v>
      </c>
      <c r="G18" s="145">
        <v>265654.99250551692</v>
      </c>
      <c r="H18" s="145">
        <v>318785.99100662029</v>
      </c>
      <c r="I18" s="145">
        <v>318785.99100662029</v>
      </c>
      <c r="J18" s="145">
        <v>318785.99100662029</v>
      </c>
      <c r="K18" s="145">
        <v>318785.99100662029</v>
      </c>
      <c r="L18" s="145">
        <v>318785.99100662029</v>
      </c>
      <c r="M18" s="145">
        <v>318785.99100662029</v>
      </c>
      <c r="N18" s="145">
        <v>318785.99100662029</v>
      </c>
      <c r="O18" s="145">
        <v>318785.99100662029</v>
      </c>
      <c r="P18" s="145">
        <v>318785.99100662029</v>
      </c>
      <c r="Q18" s="145">
        <v>318785.99100662029</v>
      </c>
      <c r="R18" s="145">
        <v>318785.99100662029</v>
      </c>
      <c r="S18" s="145">
        <v>318785.99100662029</v>
      </c>
      <c r="T18" s="145">
        <v>318785.99100662029</v>
      </c>
      <c r="U18" s="145">
        <v>318785.99100662029</v>
      </c>
      <c r="V18" s="146">
        <v>318785.99100662029</v>
      </c>
      <c r="W18" s="5"/>
      <c r="X18" s="17"/>
    </row>
    <row r="19" spans="1:24" s="48" customFormat="1" thickBot="1">
      <c r="A19" s="52" t="s">
        <v>21</v>
      </c>
      <c r="B19" s="44" t="s">
        <v>1</v>
      </c>
      <c r="C19" s="170">
        <v>395847.45418423496</v>
      </c>
      <c r="D19" s="170">
        <v>523728.24170180329</v>
      </c>
      <c r="E19" s="170">
        <v>651609.02921937162</v>
      </c>
      <c r="F19" s="170">
        <v>779489.81673693983</v>
      </c>
      <c r="G19" s="170">
        <v>907370.60425450816</v>
      </c>
      <c r="H19" s="170">
        <v>1035251.3917720765</v>
      </c>
      <c r="I19" s="170">
        <v>767284.72510540974</v>
      </c>
      <c r="J19" s="170">
        <v>767284.72510540974</v>
      </c>
      <c r="K19" s="170">
        <v>767284.72510540974</v>
      </c>
      <c r="L19" s="170">
        <v>767284.72510540974</v>
      </c>
      <c r="M19" s="170">
        <v>767284.72510540974</v>
      </c>
      <c r="N19" s="170">
        <v>767284.72510540974</v>
      </c>
      <c r="O19" s="170">
        <v>767284.72510540974</v>
      </c>
      <c r="P19" s="170">
        <v>767284.72510540974</v>
      </c>
      <c r="Q19" s="170">
        <v>767284.72510540974</v>
      </c>
      <c r="R19" s="170">
        <v>767284.72510540974</v>
      </c>
      <c r="S19" s="170">
        <v>767284.72510540974</v>
      </c>
      <c r="T19" s="170">
        <v>767284.72510540974</v>
      </c>
      <c r="U19" s="170">
        <v>767284.72510540974</v>
      </c>
      <c r="V19" s="171">
        <v>767284.72510540974</v>
      </c>
      <c r="W19" s="5"/>
      <c r="X19" s="47"/>
    </row>
    <row r="20" spans="1:24" s="48" customFormat="1" thickBot="1">
      <c r="A20" s="176" t="s">
        <v>0</v>
      </c>
      <c r="B20" s="61" t="s">
        <v>1</v>
      </c>
      <c r="C20" s="170">
        <v>-267370.69707420492</v>
      </c>
      <c r="D20" s="170">
        <v>-193572.82699202996</v>
      </c>
      <c r="E20" s="170">
        <v>-85855.063271261752</v>
      </c>
      <c r="F20" s="170">
        <v>138831.56863328419</v>
      </c>
      <c r="G20" s="170">
        <v>240531.1274582718</v>
      </c>
      <c r="H20" s="170">
        <v>342230.68628325965</v>
      </c>
      <c r="I20" s="170">
        <v>610197.3529499264</v>
      </c>
      <c r="J20" s="170">
        <v>610197.3529499264</v>
      </c>
      <c r="K20" s="170">
        <v>610197.3529499264</v>
      </c>
      <c r="L20" s="170">
        <v>610197.3529499264</v>
      </c>
      <c r="M20" s="170">
        <v>610197.3529499264</v>
      </c>
      <c r="N20" s="170">
        <v>610197.3529499264</v>
      </c>
      <c r="O20" s="170">
        <v>610197.3529499264</v>
      </c>
      <c r="P20" s="170">
        <v>610197.3529499264</v>
      </c>
      <c r="Q20" s="170">
        <v>610197.3529499264</v>
      </c>
      <c r="R20" s="170">
        <v>610197.3529499264</v>
      </c>
      <c r="S20" s="170">
        <v>610197.3529499264</v>
      </c>
      <c r="T20" s="170">
        <v>610197.3529499264</v>
      </c>
      <c r="U20" s="170">
        <v>610197.3529499264</v>
      </c>
      <c r="V20" s="171">
        <v>610197.3529499264</v>
      </c>
      <c r="W20" s="5"/>
      <c r="X20" s="47"/>
    </row>
    <row r="21" spans="1:24" s="18" customFormat="1" thickBot="1">
      <c r="A21" s="64"/>
      <c r="B21" s="22"/>
      <c r="C21" s="65"/>
      <c r="D21" s="65"/>
      <c r="E21" s="65"/>
      <c r="F21" s="65"/>
      <c r="G21" s="65"/>
      <c r="H21" s="65"/>
      <c r="I21" s="66"/>
      <c r="J21" s="66"/>
      <c r="K21" s="67"/>
      <c r="L21" s="67"/>
      <c r="M21" s="67"/>
      <c r="N21" s="67"/>
      <c r="O21" s="67"/>
      <c r="P21" s="67"/>
      <c r="Q21" s="67"/>
      <c r="R21" s="67"/>
      <c r="S21" s="67"/>
      <c r="T21" s="67"/>
      <c r="U21" s="67"/>
      <c r="V21" s="68"/>
      <c r="W21" s="69"/>
      <c r="X21" s="17"/>
    </row>
    <row r="22" spans="1:24" s="18" customFormat="1" ht="14.25">
      <c r="A22" s="134" t="s">
        <v>22</v>
      </c>
      <c r="B22" s="135"/>
      <c r="C22" s="70"/>
      <c r="D22" s="71"/>
      <c r="E22" s="71"/>
      <c r="F22" s="71"/>
      <c r="G22" s="71"/>
      <c r="H22" s="71"/>
      <c r="I22" s="72"/>
      <c r="J22" s="72"/>
      <c r="K22" s="66"/>
      <c r="L22" s="66"/>
      <c r="M22" s="66"/>
      <c r="N22" s="66"/>
      <c r="O22" s="66"/>
      <c r="P22" s="66"/>
      <c r="Q22" s="66"/>
      <c r="R22" s="66"/>
      <c r="S22" s="66"/>
      <c r="T22" s="66"/>
      <c r="U22" s="66"/>
      <c r="V22" s="73"/>
      <c r="W22" s="74"/>
      <c r="X22" s="17"/>
    </row>
    <row r="23" spans="1:24" s="18" customFormat="1" ht="14.25">
      <c r="A23" s="53" t="s">
        <v>10</v>
      </c>
      <c r="B23" s="75">
        <v>0.06</v>
      </c>
      <c r="C23" s="70"/>
      <c r="D23" s="71"/>
      <c r="E23" s="71"/>
      <c r="F23" s="71"/>
      <c r="G23" s="71"/>
      <c r="H23" s="71"/>
      <c r="I23" s="72"/>
      <c r="J23" s="72"/>
      <c r="K23" s="72"/>
      <c r="L23" s="72"/>
      <c r="M23" s="72"/>
      <c r="N23" s="72"/>
      <c r="O23" s="72"/>
      <c r="P23" s="72"/>
      <c r="Q23" s="72"/>
      <c r="R23" s="72"/>
      <c r="S23" s="72"/>
      <c r="T23" s="72"/>
      <c r="U23" s="72"/>
      <c r="V23" s="76"/>
      <c r="W23" s="74"/>
      <c r="X23" s="17"/>
    </row>
    <row r="24" spans="1:24" s="18" customFormat="1" thickBot="1">
      <c r="A24" s="136" t="s">
        <v>23</v>
      </c>
      <c r="B24" s="137"/>
      <c r="C24" s="77"/>
      <c r="D24" s="72"/>
      <c r="E24" s="72"/>
      <c r="F24" s="72"/>
      <c r="G24" s="72"/>
      <c r="H24" s="72"/>
      <c r="I24" s="72"/>
      <c r="J24" s="72"/>
      <c r="K24" s="72"/>
      <c r="L24" s="72"/>
      <c r="M24" s="72"/>
      <c r="N24" s="72"/>
      <c r="O24" s="72"/>
      <c r="P24" s="72"/>
      <c r="Q24" s="72"/>
      <c r="R24" s="72"/>
      <c r="S24" s="72"/>
      <c r="T24" s="72"/>
      <c r="U24" s="72"/>
      <c r="V24" s="76"/>
      <c r="W24" s="74"/>
      <c r="X24" s="17"/>
    </row>
    <row r="25" spans="1:24" s="18" customFormat="1" thickBot="1">
      <c r="A25" s="53" t="s">
        <v>7</v>
      </c>
      <c r="B25" s="147">
        <v>4542076.8616458615</v>
      </c>
      <c r="C25" s="80" t="s">
        <v>1</v>
      </c>
      <c r="D25" s="80"/>
      <c r="E25" s="80"/>
      <c r="F25" s="80"/>
      <c r="G25" s="80"/>
      <c r="H25" s="80"/>
      <c r="I25" s="80"/>
      <c r="J25" s="80"/>
      <c r="K25" s="72"/>
      <c r="L25" s="72"/>
      <c r="M25" s="72"/>
      <c r="N25" s="72"/>
      <c r="O25" s="72"/>
      <c r="P25" s="72"/>
      <c r="Q25" s="72"/>
      <c r="R25" s="72"/>
      <c r="S25" s="72"/>
      <c r="T25" s="72"/>
      <c r="U25" s="72"/>
      <c r="V25" s="76"/>
      <c r="W25" s="74"/>
      <c r="X25" s="17"/>
    </row>
    <row r="26" spans="1:24" s="18" customFormat="1" thickBot="1">
      <c r="A26" s="53" t="s">
        <v>8</v>
      </c>
      <c r="B26" s="81">
        <v>0.4042328454367905</v>
      </c>
      <c r="C26" s="82" t="s">
        <v>24</v>
      </c>
      <c r="D26" s="82"/>
      <c r="E26" s="82"/>
      <c r="F26" s="82"/>
      <c r="G26" s="82"/>
      <c r="H26" s="82"/>
      <c r="I26" s="82"/>
      <c r="J26" s="82"/>
      <c r="K26" s="72"/>
      <c r="L26" s="72"/>
      <c r="M26" s="72"/>
      <c r="N26" s="72"/>
      <c r="O26" s="72"/>
      <c r="P26" s="72"/>
      <c r="Q26" s="72"/>
      <c r="R26" s="72"/>
      <c r="S26" s="72"/>
      <c r="T26" s="72"/>
      <c r="U26" s="72"/>
      <c r="V26" s="76"/>
      <c r="W26" s="74"/>
      <c r="X26" s="17"/>
    </row>
    <row r="27" spans="1:24" s="18" customFormat="1" thickBot="1">
      <c r="A27" s="53" t="s">
        <v>9</v>
      </c>
      <c r="B27" s="81">
        <v>0.19078573908645025</v>
      </c>
      <c r="C27" s="80" t="s">
        <v>24</v>
      </c>
      <c r="D27" s="80"/>
      <c r="E27" s="80"/>
      <c r="F27" s="80"/>
      <c r="G27" s="80"/>
      <c r="H27" s="80"/>
      <c r="I27" s="80"/>
      <c r="J27" s="80"/>
      <c r="K27" s="72"/>
      <c r="L27" s="72"/>
      <c r="M27" s="72"/>
      <c r="N27" s="72"/>
      <c r="O27" s="72"/>
      <c r="P27" s="72"/>
      <c r="Q27" s="72"/>
      <c r="R27" s="72"/>
      <c r="S27" s="72"/>
      <c r="T27" s="72"/>
      <c r="U27" s="72"/>
      <c r="V27" s="76"/>
      <c r="W27" s="74"/>
      <c r="X27" s="17"/>
    </row>
    <row r="28" spans="1:24" s="18" customFormat="1" thickBot="1">
      <c r="A28" s="364" t="s">
        <v>25</v>
      </c>
      <c r="B28" s="365">
        <v>1.5798067064288934</v>
      </c>
      <c r="C28" s="17"/>
      <c r="V28" s="90"/>
      <c r="W28" s="91"/>
      <c r="X28" s="17"/>
    </row>
    <row r="29" spans="1:24">
      <c r="A29" s="179"/>
      <c r="B29" s="179"/>
    </row>
    <row r="30" spans="1:24">
      <c r="A30" s="179"/>
      <c r="B30" s="179"/>
    </row>
    <row r="31" spans="1:24">
      <c r="A31" s="179"/>
      <c r="B31" s="179"/>
    </row>
    <row r="32" spans="1:24">
      <c r="A32" s="179"/>
      <c r="B32" s="179"/>
    </row>
    <row r="33" spans="1:24">
      <c r="A33" s="179"/>
      <c r="B33" s="179"/>
    </row>
    <row r="37" spans="1:24" s="102" customFormat="1" ht="12.75" customHeight="1" thickBot="1">
      <c r="B37" s="103" t="s">
        <v>26</v>
      </c>
      <c r="C37" s="104"/>
      <c r="D37" s="104"/>
      <c r="E37" s="104"/>
      <c r="F37" s="104"/>
      <c r="G37" s="104"/>
      <c r="H37" s="104"/>
      <c r="I37" s="104"/>
      <c r="J37" s="104"/>
      <c r="K37" s="104"/>
      <c r="L37" s="104"/>
      <c r="M37" s="104"/>
      <c r="N37" s="104"/>
      <c r="O37" s="104"/>
      <c r="P37" s="104"/>
      <c r="Q37" s="104"/>
      <c r="R37" s="104"/>
      <c r="S37" s="104"/>
      <c r="T37" s="104"/>
      <c r="U37" s="104"/>
      <c r="V37" s="105"/>
      <c r="W37" s="106"/>
      <c r="X37" s="107"/>
    </row>
    <row r="38" spans="1:24" s="102" customFormat="1" ht="12.75">
      <c r="B38" s="108" t="s">
        <v>27</v>
      </c>
      <c r="C38" s="109">
        <v>0</v>
      </c>
      <c r="D38" s="110">
        <v>1</v>
      </c>
      <c r="E38" s="110">
        <v>2</v>
      </c>
      <c r="F38" s="110">
        <v>3</v>
      </c>
      <c r="G38" s="110">
        <v>4</v>
      </c>
      <c r="H38" s="110">
        <v>5</v>
      </c>
      <c r="I38" s="110">
        <v>6</v>
      </c>
      <c r="J38" s="110">
        <v>7</v>
      </c>
      <c r="K38" s="110">
        <v>8</v>
      </c>
      <c r="L38" s="110">
        <v>9</v>
      </c>
      <c r="M38" s="110">
        <v>10</v>
      </c>
      <c r="N38" s="110">
        <v>11</v>
      </c>
      <c r="O38" s="110">
        <v>12</v>
      </c>
      <c r="P38" s="110">
        <v>13</v>
      </c>
      <c r="Q38" s="110">
        <v>14</v>
      </c>
      <c r="R38" s="110">
        <v>15</v>
      </c>
      <c r="S38" s="110">
        <v>16</v>
      </c>
      <c r="T38" s="110">
        <v>17</v>
      </c>
      <c r="U38" s="110">
        <v>18</v>
      </c>
      <c r="V38" s="110">
        <v>19</v>
      </c>
      <c r="W38" s="111">
        <v>20</v>
      </c>
      <c r="X38" s="107"/>
    </row>
    <row r="39" spans="1:24" s="102" customFormat="1" ht="12.75">
      <c r="B39" s="108" t="s">
        <v>28</v>
      </c>
      <c r="C39" s="112">
        <v>-1607800.0000000002</v>
      </c>
      <c r="D39" s="113"/>
      <c r="E39" s="113"/>
      <c r="F39" s="113"/>
      <c r="G39" s="113"/>
      <c r="H39" s="113"/>
      <c r="I39" s="113"/>
      <c r="J39" s="113"/>
      <c r="K39" s="113"/>
      <c r="L39" s="113"/>
      <c r="M39" s="113"/>
      <c r="N39" s="113"/>
      <c r="O39" s="113"/>
      <c r="P39" s="113"/>
      <c r="Q39" s="113"/>
      <c r="R39" s="113"/>
      <c r="S39" s="113"/>
      <c r="T39" s="113"/>
      <c r="U39" s="113"/>
      <c r="V39" s="113"/>
      <c r="W39" s="114"/>
      <c r="X39" s="107"/>
    </row>
    <row r="40" spans="1:24" s="102" customFormat="1" ht="12.75">
      <c r="B40" s="108" t="s">
        <v>29</v>
      </c>
      <c r="D40" s="115">
        <v>595.96959246178449</v>
      </c>
      <c r="E40" s="115">
        <v>74393.839674636751</v>
      </c>
      <c r="F40" s="115">
        <v>182111.60339540499</v>
      </c>
      <c r="G40" s="115">
        <v>406798.23529995087</v>
      </c>
      <c r="H40" s="115">
        <v>508497.79412493855</v>
      </c>
      <c r="I40" s="115">
        <v>610197.3529499264</v>
      </c>
      <c r="J40" s="115">
        <v>1377482.0780553361</v>
      </c>
      <c r="K40" s="115">
        <v>1377482.0780553361</v>
      </c>
      <c r="L40" s="115">
        <v>1377482.0780553361</v>
      </c>
      <c r="M40" s="115">
        <v>1377482.0780553361</v>
      </c>
      <c r="N40" s="115">
        <v>1377482.0780553361</v>
      </c>
      <c r="O40" s="115">
        <v>1377482.0780553361</v>
      </c>
      <c r="P40" s="115">
        <v>1377482.0780553361</v>
      </c>
      <c r="Q40" s="115">
        <v>1377482.0780553361</v>
      </c>
      <c r="R40" s="115">
        <v>1377482.0780553361</v>
      </c>
      <c r="S40" s="115">
        <v>1377482.0780553361</v>
      </c>
      <c r="T40" s="115">
        <v>1377482.0780553361</v>
      </c>
      <c r="U40" s="115">
        <v>1377482.0780553361</v>
      </c>
      <c r="V40" s="115">
        <v>1377482.0780553361</v>
      </c>
      <c r="W40" s="116">
        <v>1377482.0780553361</v>
      </c>
      <c r="X40" s="107"/>
    </row>
    <row r="41" spans="1:24" s="102" customFormat="1" ht="13.5" thickBot="1">
      <c r="B41" s="108" t="s">
        <v>30</v>
      </c>
      <c r="C41" s="117">
        <v>-1607800.0000000002</v>
      </c>
      <c r="D41" s="118">
        <v>-1607204.0304075384</v>
      </c>
      <c r="E41" s="118">
        <v>-1532810.1907329017</v>
      </c>
      <c r="F41" s="118">
        <v>-1350698.5873374967</v>
      </c>
      <c r="G41" s="118">
        <v>-943900.35203754576</v>
      </c>
      <c r="H41" s="118">
        <v>-435402.55791260721</v>
      </c>
      <c r="I41" s="118">
        <v>174794.79503731919</v>
      </c>
      <c r="J41" s="118">
        <v>1552276.8730926553</v>
      </c>
      <c r="K41" s="118">
        <v>2929758.9511479912</v>
      </c>
      <c r="L41" s="118">
        <v>4307241.0292033274</v>
      </c>
      <c r="M41" s="118">
        <v>5684723.1072586635</v>
      </c>
      <c r="N41" s="118">
        <v>7062205.1853139997</v>
      </c>
      <c r="O41" s="118">
        <v>8439687.2633693367</v>
      </c>
      <c r="P41" s="118">
        <v>9817169.3414246738</v>
      </c>
      <c r="Q41" s="118">
        <v>11194651.419480011</v>
      </c>
      <c r="R41" s="118">
        <v>12572133.497535348</v>
      </c>
      <c r="S41" s="118">
        <v>13949615.575590685</v>
      </c>
      <c r="T41" s="118">
        <v>15327097.653646022</v>
      </c>
      <c r="U41" s="118">
        <v>16704579.731701359</v>
      </c>
      <c r="V41" s="118">
        <v>18082061.809756696</v>
      </c>
      <c r="W41" s="119">
        <v>19459543.887812033</v>
      </c>
      <c r="X41" s="107"/>
    </row>
    <row r="42" spans="1:24" s="128" customFormat="1" ht="14.25">
      <c r="A42" s="120"/>
      <c r="B42" s="121"/>
      <c r="C42" s="122"/>
      <c r="D42" s="123"/>
      <c r="E42" s="124"/>
      <c r="F42" s="124"/>
      <c r="G42" s="124"/>
      <c r="H42" s="124"/>
      <c r="I42" s="124"/>
      <c r="J42" s="124"/>
      <c r="K42" s="124"/>
      <c r="L42" s="124"/>
      <c r="M42" s="124"/>
      <c r="N42" s="124"/>
      <c r="O42" s="124"/>
      <c r="P42" s="124"/>
      <c r="Q42" s="124"/>
      <c r="R42" s="124"/>
      <c r="S42" s="124"/>
      <c r="T42" s="124"/>
      <c r="U42" s="124"/>
      <c r="V42" s="125"/>
      <c r="W42" s="126"/>
      <c r="X42" s="127"/>
    </row>
    <row r="43" spans="1:24" s="128" customFormat="1" thickBot="1">
      <c r="B43" s="129" t="s">
        <v>31</v>
      </c>
      <c r="C43" s="130">
        <v>6.3203157490139183</v>
      </c>
      <c r="D43" s="127"/>
      <c r="V43" s="121"/>
      <c r="W43" s="126"/>
      <c r="X43" s="127"/>
    </row>
    <row r="45" spans="1:24" s="102" customFormat="1" ht="12.75" hidden="1" customHeight="1">
      <c r="A45" s="106"/>
      <c r="B45" s="143" t="s">
        <v>89</v>
      </c>
      <c r="C45" s="366"/>
      <c r="D45" s="367"/>
      <c r="E45" s="367"/>
      <c r="F45" s="367"/>
      <c r="G45" s="367"/>
      <c r="H45" s="367"/>
      <c r="I45" s="368"/>
      <c r="J45" s="368"/>
      <c r="K45" s="368"/>
      <c r="L45" s="368"/>
      <c r="M45" s="368"/>
      <c r="N45" s="368"/>
      <c r="O45" s="368"/>
      <c r="P45" s="368"/>
      <c r="Q45" s="368"/>
      <c r="R45" s="368"/>
      <c r="S45" s="368"/>
      <c r="T45" s="368"/>
      <c r="U45" s="368"/>
      <c r="V45" s="369"/>
      <c r="W45" s="370"/>
      <c r="X45" s="107"/>
    </row>
    <row r="46" spans="1:24" s="102" customFormat="1" ht="12.75" hidden="1" customHeight="1">
      <c r="A46" s="106"/>
      <c r="B46" s="143" t="s">
        <v>90</v>
      </c>
      <c r="C46" s="371">
        <v>595.96959246178449</v>
      </c>
      <c r="D46" s="371">
        <v>74393.839674636751</v>
      </c>
      <c r="E46" s="371">
        <v>182111.60339540499</v>
      </c>
      <c r="F46" s="371">
        <v>406798.23529995087</v>
      </c>
      <c r="G46" s="371">
        <v>508497.79412493855</v>
      </c>
      <c r="H46" s="371">
        <v>610197.3529499264</v>
      </c>
      <c r="I46" s="372"/>
      <c r="J46" s="373"/>
      <c r="K46" s="373"/>
      <c r="L46" s="373"/>
      <c r="M46" s="373"/>
      <c r="N46" s="373"/>
      <c r="O46" s="373"/>
      <c r="P46" s="373"/>
      <c r="Q46" s="373"/>
      <c r="R46" s="373"/>
      <c r="S46" s="373"/>
      <c r="T46" s="373"/>
      <c r="U46" s="373"/>
      <c r="V46" s="373"/>
      <c r="W46" s="374"/>
      <c r="X46" s="107"/>
    </row>
    <row r="47" spans="1:24" s="102" customFormat="1" ht="12.75" hidden="1" customHeight="1">
      <c r="A47" s="106"/>
      <c r="B47" s="143" t="s">
        <v>91</v>
      </c>
      <c r="C47" s="375">
        <v>267966.66666666669</v>
      </c>
      <c r="D47" s="371">
        <v>267966.66666666669</v>
      </c>
      <c r="E47" s="371">
        <v>267966.66666666669</v>
      </c>
      <c r="F47" s="371">
        <v>267966.66666666669</v>
      </c>
      <c r="G47" s="371">
        <v>267966.66666666669</v>
      </c>
      <c r="H47" s="371">
        <v>267966.66666666669</v>
      </c>
      <c r="I47" s="372"/>
      <c r="V47" s="150"/>
      <c r="W47" s="376"/>
      <c r="X47" s="107"/>
    </row>
    <row r="48" spans="1:24" s="102" customFormat="1" ht="12.75" hidden="1" customHeight="1">
      <c r="A48" s="106"/>
      <c r="B48" s="143" t="s">
        <v>92</v>
      </c>
      <c r="C48" s="377">
        <v>35.758175547707069</v>
      </c>
      <c r="D48" s="371">
        <v>4463.6303804782046</v>
      </c>
      <c r="E48" s="371">
        <v>10926.696203724299</v>
      </c>
      <c r="F48" s="371">
        <v>24407.89411799705</v>
      </c>
      <c r="G48" s="371">
        <v>30509.86764749631</v>
      </c>
      <c r="H48" s="371">
        <v>36611.841176995586</v>
      </c>
      <c r="I48" s="107"/>
      <c r="W48" s="378"/>
      <c r="X48" s="107"/>
    </row>
    <row r="49" spans="1:24" s="102" customFormat="1" ht="12.75" hidden="1" customHeight="1">
      <c r="A49" s="106"/>
      <c r="B49" s="143" t="s">
        <v>93</v>
      </c>
      <c r="C49" s="379">
        <v>268002.42484221439</v>
      </c>
      <c r="D49" s="380">
        <v>272430.29704714491</v>
      </c>
      <c r="E49" s="380">
        <v>278893.36287039099</v>
      </c>
      <c r="F49" s="380">
        <v>292374.56078466371</v>
      </c>
      <c r="G49" s="380">
        <v>298476.53431416297</v>
      </c>
      <c r="H49" s="380">
        <v>304578.50784366229</v>
      </c>
      <c r="V49" s="150"/>
      <c r="W49" s="376"/>
      <c r="X49" s="107"/>
    </row>
    <row r="50" spans="1:24" s="102" customFormat="1" ht="12.75" hidden="1" customHeight="1">
      <c r="A50" s="106"/>
      <c r="B50" s="381" t="s">
        <v>89</v>
      </c>
      <c r="C50" s="382">
        <v>2.2237470157692035E-3</v>
      </c>
      <c r="D50" s="383">
        <v>0.27307476620987814</v>
      </c>
      <c r="E50" s="383">
        <v>0.65297933776945782</v>
      </c>
      <c r="F50" s="383">
        <v>1.3913598851014988</v>
      </c>
      <c r="G50" s="383">
        <v>1.7036441249673471</v>
      </c>
      <c r="H50" s="383">
        <v>2.003415662089775</v>
      </c>
      <c r="I50" s="384">
        <v>2.003415662089775</v>
      </c>
      <c r="J50" s="384">
        <v>2.003415662089775</v>
      </c>
      <c r="K50" s="384">
        <v>2.003415662089775</v>
      </c>
      <c r="L50" s="384">
        <v>2.003415662089775</v>
      </c>
      <c r="M50" s="384">
        <v>2.003415662089775</v>
      </c>
      <c r="N50" s="384">
        <v>2.003415662089775</v>
      </c>
      <c r="O50" s="384">
        <v>2.003415662089775</v>
      </c>
      <c r="P50" s="384">
        <v>2.003415662089775</v>
      </c>
      <c r="Q50" s="384">
        <v>2.003415662089775</v>
      </c>
      <c r="R50" s="384">
        <v>2.003415662089775</v>
      </c>
      <c r="S50" s="384">
        <v>2.003415662089775</v>
      </c>
      <c r="T50" s="384">
        <v>2.003415662089775</v>
      </c>
      <c r="U50" s="384">
        <v>2.003415662089775</v>
      </c>
      <c r="V50" s="384">
        <v>2.003415662089775</v>
      </c>
      <c r="W50" s="385">
        <v>2.003415662089775</v>
      </c>
      <c r="X50" s="107"/>
    </row>
    <row r="51" spans="1:24" ht="15" hidden="1" customHeight="1">
      <c r="A51" s="106"/>
      <c r="B51" s="106"/>
      <c r="C51" s="386"/>
      <c r="D51" s="102"/>
      <c r="E51" s="102"/>
      <c r="F51" s="102"/>
      <c r="G51" s="102"/>
      <c r="H51" s="102"/>
      <c r="I51" s="102"/>
      <c r="J51" s="102"/>
      <c r="K51" s="102"/>
      <c r="L51" s="102"/>
      <c r="M51" s="102"/>
      <c r="N51" s="102"/>
      <c r="O51" s="102"/>
      <c r="P51" s="102"/>
      <c r="Q51" s="102"/>
      <c r="R51" s="102"/>
      <c r="S51" s="102"/>
      <c r="T51" s="102"/>
      <c r="U51" s="102"/>
      <c r="V51" s="150"/>
      <c r="W51" s="376"/>
    </row>
    <row r="52" spans="1:24" ht="15.75" hidden="1" customHeight="1" thickBot="1">
      <c r="A52" s="106"/>
      <c r="B52" s="381" t="s">
        <v>94</v>
      </c>
      <c r="C52" s="387">
        <v>1.7179967835476357</v>
      </c>
      <c r="D52" s="388"/>
      <c r="E52" s="388"/>
      <c r="F52" s="388"/>
      <c r="G52" s="388"/>
      <c r="H52" s="388"/>
      <c r="I52" s="388"/>
      <c r="J52" s="388"/>
      <c r="K52" s="388"/>
      <c r="L52" s="388"/>
      <c r="M52" s="388"/>
      <c r="N52" s="388"/>
      <c r="O52" s="388"/>
      <c r="P52" s="388"/>
      <c r="Q52" s="388"/>
      <c r="R52" s="388"/>
      <c r="S52" s="388"/>
      <c r="T52" s="388"/>
      <c r="U52" s="388"/>
      <c r="V52" s="389"/>
      <c r="W52" s="390"/>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sheetPr>
    <tabColor rgb="FFFF0000"/>
  </sheetPr>
  <dimension ref="A1:K186"/>
  <sheetViews>
    <sheetView showGridLines="0" view="pageBreakPreview" zoomScaleSheetLayoutView="100" workbookViewId="0">
      <selection activeCell="E29" sqref="E29"/>
    </sheetView>
  </sheetViews>
  <sheetFormatPr defaultColWidth="8.85546875" defaultRowHeight="12"/>
  <cols>
    <col min="1" max="1" width="9.5703125" style="548" customWidth="1"/>
    <col min="2" max="2" width="23" style="547" hidden="1" customWidth="1"/>
    <col min="3" max="3" width="72.85546875" style="546" customWidth="1"/>
    <col min="4" max="4" width="18.85546875" style="545" customWidth="1"/>
    <col min="5" max="5" width="18.28515625" style="544" customWidth="1"/>
    <col min="6" max="6" width="18.140625" style="542" bestFit="1" customWidth="1"/>
    <col min="7" max="7" width="28.5703125" style="542" bestFit="1" customWidth="1"/>
    <col min="8" max="8" width="34.28515625" style="542" customWidth="1"/>
    <col min="9" max="9" width="31.140625" style="542" customWidth="1"/>
    <col min="10" max="10" width="13.28515625" style="542" bestFit="1" customWidth="1"/>
    <col min="11" max="16384" width="8.85546875" style="542"/>
  </cols>
  <sheetData>
    <row r="1" spans="2:9" s="542" customFormat="1" ht="9.75" customHeight="1">
      <c r="B1" s="547"/>
      <c r="C1" s="546"/>
      <c r="D1" s="545"/>
      <c r="E1" s="544"/>
    </row>
    <row r="2" spans="2:9" s="542" customFormat="1" ht="9.75" customHeight="1">
      <c r="B2" s="623" t="s">
        <v>281</v>
      </c>
      <c r="C2" s="546"/>
      <c r="D2" s="545"/>
      <c r="E2" s="544"/>
    </row>
    <row r="3" spans="2:9" s="542" customFormat="1" ht="9.75" customHeight="1">
      <c r="B3" s="547"/>
      <c r="C3" s="622" t="s">
        <v>150</v>
      </c>
      <c r="D3" s="545"/>
      <c r="E3" s="544"/>
    </row>
    <row r="4" spans="2:9" s="542" customFormat="1" ht="9.75" customHeight="1">
      <c r="B4" s="547" t="s">
        <v>280</v>
      </c>
      <c r="C4" s="546" t="s">
        <v>279</v>
      </c>
      <c r="D4" s="545"/>
      <c r="E4" s="544"/>
    </row>
    <row r="5" spans="2:9" s="542" customFormat="1" ht="9.75" customHeight="1">
      <c r="B5" s="547" t="s">
        <v>160</v>
      </c>
      <c r="C5" s="546" t="s">
        <v>278</v>
      </c>
      <c r="D5" s="545"/>
      <c r="E5" s="544"/>
    </row>
    <row r="6" spans="2:9" s="542" customFormat="1" ht="9.75" customHeight="1">
      <c r="B6" s="547" t="s">
        <v>277</v>
      </c>
      <c r="C6" s="546" t="s">
        <v>276</v>
      </c>
      <c r="D6" s="545"/>
      <c r="E6" s="544"/>
    </row>
    <row r="7" spans="2:9" s="542" customFormat="1" ht="9.75" customHeight="1">
      <c r="B7" s="547" t="s">
        <v>173</v>
      </c>
      <c r="C7" s="546" t="s">
        <v>275</v>
      </c>
      <c r="D7" s="545"/>
      <c r="E7" s="544"/>
    </row>
    <row r="8" spans="2:9" s="542" customFormat="1" ht="9.75" customHeight="1">
      <c r="B8" s="547" t="s">
        <v>274</v>
      </c>
      <c r="C8" s="546" t="s">
        <v>273</v>
      </c>
      <c r="D8" s="545"/>
      <c r="E8" s="544"/>
    </row>
    <row r="9" spans="2:9" s="542" customFormat="1" ht="9.75" customHeight="1">
      <c r="B9" s="547" t="s">
        <v>272</v>
      </c>
      <c r="C9" s="546" t="s">
        <v>271</v>
      </c>
      <c r="D9" s="545"/>
      <c r="E9" s="544"/>
    </row>
    <row r="10" spans="2:9" s="542" customFormat="1" ht="9.75" customHeight="1">
      <c r="B10" s="547" t="s">
        <v>270</v>
      </c>
      <c r="C10" s="546" t="s">
        <v>269</v>
      </c>
      <c r="D10" s="545"/>
      <c r="E10" s="544"/>
    </row>
    <row r="11" spans="2:9" s="542" customFormat="1" ht="9.75" customHeight="1">
      <c r="B11" s="547" t="s">
        <v>268</v>
      </c>
      <c r="C11" s="546" t="s">
        <v>267</v>
      </c>
      <c r="D11" s="545"/>
      <c r="E11" s="544"/>
    </row>
    <row r="12" spans="2:9" s="542" customFormat="1" ht="9.75" customHeight="1">
      <c r="B12" s="547"/>
      <c r="C12" s="546"/>
      <c r="D12" s="545"/>
      <c r="E12" s="544"/>
    </row>
    <row r="13" spans="2:9" s="542" customFormat="1" ht="9.75" customHeight="1">
      <c r="B13" s="547"/>
      <c r="C13" s="546"/>
      <c r="D13" s="545"/>
      <c r="E13" s="544"/>
      <c r="F13" s="584"/>
    </row>
    <row r="14" spans="2:9" s="542" customFormat="1">
      <c r="B14" s="576" t="s">
        <v>266</v>
      </c>
      <c r="C14" s="621" t="s">
        <v>265</v>
      </c>
      <c r="D14" s="545"/>
      <c r="E14" s="544"/>
      <c r="F14" s="584"/>
      <c r="I14" s="545"/>
    </row>
    <row r="15" spans="2:9" s="542" customFormat="1" ht="11.25" customHeight="1">
      <c r="B15" s="547"/>
      <c r="C15" s="546"/>
      <c r="D15" s="619"/>
      <c r="E15" s="618"/>
      <c r="F15" s="617"/>
    </row>
    <row r="16" spans="2:9" s="542" customFormat="1" ht="11.25" customHeight="1">
      <c r="B16" s="572"/>
      <c r="C16" s="569" t="s">
        <v>264</v>
      </c>
      <c r="D16" s="569"/>
      <c r="E16" s="569"/>
      <c r="F16" s="569"/>
      <c r="G16" s="569"/>
      <c r="H16" s="569"/>
      <c r="I16" s="569"/>
    </row>
    <row r="17" spans="1:9" ht="11.25" customHeight="1">
      <c r="B17" s="572"/>
      <c r="C17" s="569" t="s">
        <v>263</v>
      </c>
      <c r="D17" s="569"/>
      <c r="E17" s="569"/>
      <c r="F17" s="569"/>
      <c r="G17" s="569"/>
      <c r="H17" s="569"/>
      <c r="I17" s="569"/>
    </row>
    <row r="18" spans="1:9" ht="11.25" customHeight="1">
      <c r="B18" s="572"/>
      <c r="C18" s="570"/>
      <c r="D18" s="619"/>
      <c r="E18" s="618"/>
      <c r="F18" s="617"/>
    </row>
    <row r="19" spans="1:9" ht="11.25" customHeight="1">
      <c r="B19" s="572"/>
      <c r="C19" s="569" t="s">
        <v>262</v>
      </c>
      <c r="D19" s="569"/>
      <c r="E19" s="569"/>
      <c r="F19" s="569"/>
      <c r="G19" s="620"/>
      <c r="H19" s="569"/>
      <c r="I19" s="569"/>
    </row>
    <row r="20" spans="1:9" ht="11.25" customHeight="1">
      <c r="C20" s="618"/>
      <c r="D20" s="619"/>
      <c r="E20" s="618"/>
      <c r="F20" s="617"/>
    </row>
    <row r="21" spans="1:9" ht="24">
      <c r="A21" s="561" t="s">
        <v>150</v>
      </c>
      <c r="B21" s="557" t="s">
        <v>149</v>
      </c>
      <c r="C21" s="561" t="s">
        <v>148</v>
      </c>
      <c r="D21" s="581" t="s">
        <v>247</v>
      </c>
      <c r="E21" s="561" t="s">
        <v>145</v>
      </c>
      <c r="F21" s="580" t="s">
        <v>144</v>
      </c>
      <c r="G21" s="561" t="s">
        <v>143</v>
      </c>
      <c r="H21" s="560" t="s">
        <v>141</v>
      </c>
      <c r="I21" s="560" t="s">
        <v>142</v>
      </c>
    </row>
    <row r="22" spans="1:9" ht="36">
      <c r="A22" s="969" t="s">
        <v>261</v>
      </c>
      <c r="B22" s="972" t="s">
        <v>260</v>
      </c>
      <c r="C22" s="556" t="s">
        <v>259</v>
      </c>
      <c r="D22" s="842">
        <v>6100</v>
      </c>
      <c r="E22" s="816">
        <v>800</v>
      </c>
      <c r="F22" s="820">
        <f>D22*E22</f>
        <v>4880000</v>
      </c>
      <c r="G22" s="949" t="s">
        <v>136</v>
      </c>
      <c r="H22" s="825" t="s">
        <v>258</v>
      </c>
      <c r="I22" s="945"/>
    </row>
    <row r="23" spans="1:9" ht="25.5" customHeight="1">
      <c r="A23" s="970"/>
      <c r="B23" s="973"/>
      <c r="C23" s="556" t="s">
        <v>257</v>
      </c>
      <c r="D23" s="842">
        <v>9000</v>
      </c>
      <c r="E23" s="816">
        <v>687.74726414992165</v>
      </c>
      <c r="F23" s="820">
        <f>D23*E23</f>
        <v>6189725.3773492947</v>
      </c>
      <c r="G23" s="950"/>
      <c r="H23" s="805" t="s">
        <v>168</v>
      </c>
      <c r="I23" s="945"/>
    </row>
    <row r="24" spans="1:9" ht="13.5" customHeight="1">
      <c r="A24" s="970"/>
      <c r="B24" s="973"/>
      <c r="C24" s="556" t="s">
        <v>256</v>
      </c>
      <c r="D24" s="851">
        <v>1745</v>
      </c>
      <c r="E24" s="816">
        <v>500</v>
      </c>
      <c r="F24" s="820">
        <f>D24*E24+0.25</f>
        <v>872500.25</v>
      </c>
      <c r="G24" s="950"/>
      <c r="H24" s="805" t="s">
        <v>168</v>
      </c>
      <c r="I24" s="945"/>
    </row>
    <row r="25" spans="1:9" ht="24">
      <c r="A25" s="970"/>
      <c r="B25" s="973"/>
      <c r="C25" s="594" t="s">
        <v>452</v>
      </c>
      <c r="D25" s="850">
        <v>15000</v>
      </c>
      <c r="E25" s="849">
        <v>11.166650000000001</v>
      </c>
      <c r="F25" s="820">
        <f>D25*E25</f>
        <v>167499.75</v>
      </c>
      <c r="G25" s="950"/>
      <c r="H25" s="805" t="s">
        <v>168</v>
      </c>
      <c r="I25" s="945"/>
    </row>
    <row r="26" spans="1:9">
      <c r="A26" s="971"/>
      <c r="B26" s="974"/>
      <c r="C26" s="578" t="s">
        <v>154</v>
      </c>
      <c r="D26" s="957"/>
      <c r="E26" s="958"/>
      <c r="F26" s="848">
        <f>SUM(F22:F25)</f>
        <v>12109725.377349295</v>
      </c>
      <c r="G26" s="951"/>
      <c r="H26" s="805" t="s">
        <v>168</v>
      </c>
      <c r="I26" s="945"/>
    </row>
    <row r="27" spans="1:9" ht="13.5" customHeight="1">
      <c r="A27" s="797" t="s">
        <v>255</v>
      </c>
      <c r="B27" s="798" t="s">
        <v>160</v>
      </c>
      <c r="C27" s="594" t="s">
        <v>254</v>
      </c>
      <c r="D27" s="817">
        <v>60</v>
      </c>
      <c r="E27" s="822">
        <f>'Detailed Budget'!J3</f>
        <v>10633</v>
      </c>
      <c r="F27" s="847">
        <f>+E27*D27</f>
        <v>637980</v>
      </c>
      <c r="G27" s="799" t="s">
        <v>136</v>
      </c>
      <c r="H27" s="805" t="s">
        <v>168</v>
      </c>
      <c r="I27" s="796"/>
    </row>
    <row r="28" spans="1:9" ht="48">
      <c r="A28" s="846">
        <v>2</v>
      </c>
      <c r="B28" s="811" t="s">
        <v>253</v>
      </c>
      <c r="C28" s="559" t="s">
        <v>451</v>
      </c>
      <c r="D28" s="845">
        <v>15000</v>
      </c>
      <c r="E28" s="844">
        <f>'Detailed Budget'!J4</f>
        <v>162.11713605930873</v>
      </c>
      <c r="F28" s="815">
        <f>+E28*D28</f>
        <v>2431757.040889631</v>
      </c>
      <c r="G28" s="799" t="s">
        <v>136</v>
      </c>
      <c r="H28" s="805" t="s">
        <v>168</v>
      </c>
      <c r="I28" s="843"/>
    </row>
    <row r="29" spans="1:9" ht="36">
      <c r="A29" s="595">
        <v>3</v>
      </c>
      <c r="B29" s="557" t="s">
        <v>196</v>
      </c>
      <c r="C29" s="594" t="s">
        <v>252</v>
      </c>
      <c r="D29" s="842">
        <v>16270</v>
      </c>
      <c r="E29" s="816">
        <f>'Detailed Budget'!J5</f>
        <v>357.81165548684896</v>
      </c>
      <c r="F29" s="815">
        <f>+E29*D29</f>
        <v>5821595.6347710323</v>
      </c>
      <c r="G29" s="585" t="s">
        <v>157</v>
      </c>
      <c r="H29" s="825" t="s">
        <v>427</v>
      </c>
      <c r="I29" s="826" t="s">
        <v>251</v>
      </c>
    </row>
    <row r="30" spans="1:9" ht="24">
      <c r="A30" s="595">
        <v>4</v>
      </c>
      <c r="B30" s="557" t="s">
        <v>177</v>
      </c>
      <c r="C30" s="594" t="s">
        <v>250</v>
      </c>
      <c r="D30" s="842">
        <v>16270</v>
      </c>
      <c r="E30" s="816">
        <f>'Detailed Budget'!J6</f>
        <v>27.718770650830095</v>
      </c>
      <c r="F30" s="815">
        <f>+E30*D30</f>
        <v>450984.39848900563</v>
      </c>
      <c r="G30" s="585" t="s">
        <v>157</v>
      </c>
      <c r="H30" s="825" t="s">
        <v>427</v>
      </c>
      <c r="I30" s="826" t="s">
        <v>249</v>
      </c>
    </row>
    <row r="31" spans="1:9">
      <c r="A31" s="841"/>
      <c r="B31" s="568"/>
      <c r="C31" s="840"/>
      <c r="D31" s="839"/>
      <c r="E31" s="838"/>
      <c r="F31" s="837"/>
      <c r="G31" s="834"/>
      <c r="H31" s="836"/>
      <c r="I31" s="546"/>
    </row>
    <row r="32" spans="1:9">
      <c r="C32" s="569" t="s">
        <v>248</v>
      </c>
      <c r="D32" s="569"/>
      <c r="E32" s="569"/>
      <c r="F32" s="569"/>
      <c r="G32" s="615"/>
      <c r="H32" s="569"/>
      <c r="I32" s="569"/>
    </row>
    <row r="33" spans="1:11">
      <c r="B33" s="576"/>
      <c r="C33" s="968"/>
      <c r="D33" s="968"/>
      <c r="E33" s="968"/>
      <c r="F33" s="968"/>
      <c r="G33" s="968"/>
    </row>
    <row r="34" spans="1:11" ht="24">
      <c r="A34" s="561" t="s">
        <v>150</v>
      </c>
      <c r="B34" s="557" t="s">
        <v>149</v>
      </c>
      <c r="C34" s="582" t="s">
        <v>148</v>
      </c>
      <c r="D34" s="581" t="s">
        <v>247</v>
      </c>
      <c r="E34" s="561" t="s">
        <v>145</v>
      </c>
      <c r="F34" s="580" t="s">
        <v>144</v>
      </c>
      <c r="G34" s="561" t="s">
        <v>143</v>
      </c>
      <c r="H34" s="561" t="s">
        <v>141</v>
      </c>
    </row>
    <row r="35" spans="1:11" ht="72">
      <c r="A35" s="558">
        <v>5</v>
      </c>
      <c r="B35" s="557" t="s">
        <v>177</v>
      </c>
      <c r="C35" s="556" t="s">
        <v>450</v>
      </c>
      <c r="D35" s="616">
        <v>8100</v>
      </c>
      <c r="E35" s="553">
        <f>'Detailed Budget'!J7</f>
        <v>528.84141719759089</v>
      </c>
      <c r="F35" s="552">
        <f>E35*D35</f>
        <v>4283615.4793004859</v>
      </c>
      <c r="G35" s="799" t="s">
        <v>136</v>
      </c>
      <c r="H35" s="825" t="s">
        <v>246</v>
      </c>
    </row>
    <row r="36" spans="1:11" ht="24">
      <c r="A36" s="558">
        <v>6</v>
      </c>
      <c r="B36" s="557" t="s">
        <v>177</v>
      </c>
      <c r="C36" s="556" t="s">
        <v>449</v>
      </c>
      <c r="D36" s="607">
        <v>8100</v>
      </c>
      <c r="E36" s="553">
        <f>'Detailed Budget'!J8</f>
        <v>93.064680013808726</v>
      </c>
      <c r="F36" s="552">
        <f>E36*D36</f>
        <v>753823.90811185073</v>
      </c>
      <c r="G36" s="799" t="s">
        <v>136</v>
      </c>
      <c r="H36" s="805" t="s">
        <v>168</v>
      </c>
    </row>
    <row r="37" spans="1:11" ht="11.45" customHeight="1">
      <c r="A37" s="965"/>
      <c r="B37" s="966"/>
      <c r="C37" s="967"/>
      <c r="D37" s="581" t="s">
        <v>245</v>
      </c>
      <c r="E37" s="952"/>
      <c r="F37" s="953"/>
      <c r="G37" s="953"/>
      <c r="H37" s="975"/>
    </row>
    <row r="38" spans="1:11" ht="60">
      <c r="A38" s="558">
        <v>7</v>
      </c>
      <c r="B38" s="557" t="s">
        <v>169</v>
      </c>
      <c r="C38" s="614" t="s">
        <v>244</v>
      </c>
      <c r="D38" s="607">
        <v>30</v>
      </c>
      <c r="E38" s="553">
        <f>'Detailed Budget'!J9</f>
        <v>3332.9989634928106</v>
      </c>
      <c r="F38" s="552">
        <f>E38*D38</f>
        <v>99989.968904784313</v>
      </c>
      <c r="G38" s="799" t="s">
        <v>136</v>
      </c>
      <c r="H38" s="805" t="s">
        <v>240</v>
      </c>
    </row>
    <row r="39" spans="1:11" ht="36">
      <c r="A39" s="558">
        <v>8</v>
      </c>
      <c r="B39" s="557" t="s">
        <v>169</v>
      </c>
      <c r="C39" s="556" t="s">
        <v>243</v>
      </c>
      <c r="D39" s="607">
        <v>30</v>
      </c>
      <c r="E39" s="553">
        <f>'Detailed Budget'!J10</f>
        <v>6685.5048879233809</v>
      </c>
      <c r="F39" s="552">
        <v>200565.14663770146</v>
      </c>
      <c r="G39" s="799" t="s">
        <v>136</v>
      </c>
      <c r="H39" s="805" t="s">
        <v>240</v>
      </c>
      <c r="I39" s="612"/>
    </row>
    <row r="40" spans="1:11">
      <c r="B40" s="576"/>
      <c r="C40" s="575"/>
      <c r="J40" s="835"/>
      <c r="K40" s="612"/>
    </row>
    <row r="41" spans="1:11">
      <c r="C41" s="569" t="s">
        <v>242</v>
      </c>
      <c r="D41" s="569"/>
      <c r="E41" s="569"/>
      <c r="F41" s="569"/>
      <c r="G41" s="569"/>
      <c r="H41" s="569"/>
      <c r="I41" s="569"/>
      <c r="J41" s="835"/>
      <c r="K41" s="612"/>
    </row>
    <row r="42" spans="1:11">
      <c r="B42" s="576"/>
      <c r="C42" s="613"/>
      <c r="D42" s="605"/>
      <c r="E42" s="604"/>
      <c r="F42" s="603"/>
      <c r="G42" s="602"/>
      <c r="J42" s="612"/>
      <c r="K42" s="612"/>
    </row>
    <row r="43" spans="1:11" ht="24">
      <c r="A43" s="561" t="s">
        <v>150</v>
      </c>
      <c r="B43" s="557" t="s">
        <v>149</v>
      </c>
      <c r="C43" s="582" t="s">
        <v>148</v>
      </c>
      <c r="D43" s="581" t="s">
        <v>165</v>
      </c>
      <c r="E43" s="561" t="s">
        <v>145</v>
      </c>
      <c r="F43" s="580" t="s">
        <v>144</v>
      </c>
      <c r="G43" s="561" t="s">
        <v>143</v>
      </c>
      <c r="H43" s="561" t="s">
        <v>141</v>
      </c>
      <c r="J43" s="612"/>
    </row>
    <row r="44" spans="1:11" s="611" customFormat="1" ht="36">
      <c r="A44" s="558">
        <v>9</v>
      </c>
      <c r="B44" s="557" t="s">
        <v>169</v>
      </c>
      <c r="C44" s="594" t="s">
        <v>241</v>
      </c>
      <c r="D44" s="607">
        <v>60</v>
      </c>
      <c r="E44" s="553">
        <f>'Detailed Budget'!J11</f>
        <v>2219.9811877454686</v>
      </c>
      <c r="F44" s="552">
        <f>E44*D44</f>
        <v>133198.87126472811</v>
      </c>
      <c r="G44" s="799" t="s">
        <v>136</v>
      </c>
      <c r="H44" s="805" t="s">
        <v>240</v>
      </c>
    </row>
    <row r="45" spans="1:11" s="611" customFormat="1">
      <c r="A45" s="558">
        <v>10</v>
      </c>
      <c r="B45" s="557" t="s">
        <v>173</v>
      </c>
      <c r="C45" s="594" t="s">
        <v>448</v>
      </c>
      <c r="D45" s="607">
        <v>60</v>
      </c>
      <c r="E45" s="553">
        <f>'Detailed Budget'!J12</f>
        <v>724.97096737357776</v>
      </c>
      <c r="F45" s="552">
        <f>E45*D45</f>
        <v>43498.258042414665</v>
      </c>
      <c r="G45" s="799" t="s">
        <v>136</v>
      </c>
      <c r="H45" s="805" t="s">
        <v>240</v>
      </c>
    </row>
    <row r="46" spans="1:11" s="611" customFormat="1" ht="24">
      <c r="A46" s="558">
        <v>11</v>
      </c>
      <c r="B46" s="557" t="s">
        <v>161</v>
      </c>
      <c r="C46" s="594" t="s">
        <v>447</v>
      </c>
      <c r="D46" s="607">
        <v>60</v>
      </c>
      <c r="E46" s="553">
        <f>'Detailed Budget'!J13</f>
        <v>543.72822553018318</v>
      </c>
      <c r="F46" s="552">
        <f>E46*D46</f>
        <v>32623.69353181099</v>
      </c>
      <c r="G46" s="799" t="s">
        <v>136</v>
      </c>
      <c r="H46" s="805" t="s">
        <v>240</v>
      </c>
    </row>
    <row r="47" spans="1:11">
      <c r="C47" s="542"/>
      <c r="D47" s="542"/>
      <c r="E47" s="542"/>
    </row>
    <row r="48" spans="1:11">
      <c r="C48" s="569" t="s">
        <v>239</v>
      </c>
      <c r="D48" s="569"/>
      <c r="E48" s="569"/>
      <c r="F48" s="569"/>
      <c r="G48" s="569"/>
      <c r="H48" s="569"/>
      <c r="I48" s="569"/>
    </row>
    <row r="49" spans="1:9">
      <c r="C49" s="610"/>
      <c r="F49" s="609"/>
      <c r="G49" s="608"/>
    </row>
    <row r="50" spans="1:9" ht="24">
      <c r="A50" s="561" t="s">
        <v>150</v>
      </c>
      <c r="B50" s="557" t="s">
        <v>149</v>
      </c>
      <c r="C50" s="582" t="s">
        <v>148</v>
      </c>
      <c r="D50" s="581" t="s">
        <v>165</v>
      </c>
      <c r="E50" s="561" t="s">
        <v>145</v>
      </c>
      <c r="F50" s="580" t="s">
        <v>144</v>
      </c>
      <c r="G50" s="561" t="s">
        <v>143</v>
      </c>
      <c r="H50" s="561" t="s">
        <v>141</v>
      </c>
    </row>
    <row r="51" spans="1:9" ht="24">
      <c r="A51" s="558">
        <v>12</v>
      </c>
      <c r="B51" s="557" t="s">
        <v>196</v>
      </c>
      <c r="C51" s="556" t="s">
        <v>446</v>
      </c>
      <c r="D51" s="607">
        <v>150</v>
      </c>
      <c r="E51" s="553">
        <f>+'Detailed Budget'!J14</f>
        <v>23070.340196942107</v>
      </c>
      <c r="F51" s="552">
        <f>+E51*D51</f>
        <v>3460551.029541316</v>
      </c>
      <c r="G51" s="799" t="s">
        <v>136</v>
      </c>
      <c r="H51" s="825" t="s">
        <v>238</v>
      </c>
    </row>
    <row r="52" spans="1:9" ht="24">
      <c r="A52" s="558">
        <v>13</v>
      </c>
      <c r="B52" s="557" t="s">
        <v>161</v>
      </c>
      <c r="C52" s="594" t="s">
        <v>445</v>
      </c>
      <c r="D52" s="607">
        <v>150</v>
      </c>
      <c r="E52" s="553">
        <f>+'Detailed Budget'!J15</f>
        <v>4071.2365053427252</v>
      </c>
      <c r="F52" s="552">
        <f>+E52*D52</f>
        <v>610685.47580140876</v>
      </c>
      <c r="G52" s="799" t="s">
        <v>136</v>
      </c>
      <c r="H52" s="825" t="s">
        <v>238</v>
      </c>
    </row>
    <row r="53" spans="1:9">
      <c r="C53" s="606"/>
      <c r="D53" s="605"/>
      <c r="E53" s="604"/>
      <c r="F53" s="603"/>
      <c r="G53" s="602"/>
    </row>
    <row r="54" spans="1:9">
      <c r="C54" s="569" t="s">
        <v>237</v>
      </c>
      <c r="D54" s="569"/>
      <c r="E54" s="569"/>
      <c r="F54" s="569"/>
      <c r="G54" s="569"/>
      <c r="H54" s="569"/>
      <c r="I54" s="569"/>
    </row>
    <row r="55" spans="1:9">
      <c r="C55" s="569" t="s">
        <v>236</v>
      </c>
      <c r="D55" s="569"/>
      <c r="E55" s="569"/>
      <c r="F55" s="569"/>
      <c r="G55" s="569"/>
      <c r="H55" s="569"/>
      <c r="I55" s="569"/>
    </row>
    <row r="56" spans="1:9">
      <c r="A56" s="542"/>
      <c r="B56" s="583"/>
      <c r="C56" s="542"/>
      <c r="D56" s="542"/>
      <c r="E56" s="542"/>
    </row>
    <row r="57" spans="1:9" ht="24">
      <c r="A57" s="561" t="s">
        <v>150</v>
      </c>
      <c r="B57" s="557" t="s">
        <v>149</v>
      </c>
      <c r="C57" s="582" t="s">
        <v>148</v>
      </c>
      <c r="D57" s="581" t="s">
        <v>235</v>
      </c>
      <c r="E57" s="561" t="s">
        <v>145</v>
      </c>
      <c r="F57" s="580" t="s">
        <v>144</v>
      </c>
      <c r="G57" s="561" t="s">
        <v>143</v>
      </c>
      <c r="H57" s="561" t="s">
        <v>141</v>
      </c>
    </row>
    <row r="58" spans="1:9" ht="36">
      <c r="A58" s="558">
        <v>14</v>
      </c>
      <c r="B58" s="557" t="s">
        <v>160</v>
      </c>
      <c r="C58" s="556" t="s">
        <v>444</v>
      </c>
      <c r="D58" s="555">
        <v>6</v>
      </c>
      <c r="E58" s="553">
        <f>'Detailed Budget'!J17</f>
        <v>30000</v>
      </c>
      <c r="F58" s="552">
        <f>D58*E58</f>
        <v>180000</v>
      </c>
      <c r="G58" s="799" t="s">
        <v>136</v>
      </c>
      <c r="H58" s="805" t="s">
        <v>168</v>
      </c>
    </row>
    <row r="59" spans="1:9">
      <c r="A59" s="542"/>
      <c r="B59" s="583"/>
      <c r="C59" s="542"/>
      <c r="D59" s="542"/>
      <c r="E59" s="542"/>
    </row>
    <row r="60" spans="1:9">
      <c r="A60" s="542"/>
      <c r="C60" s="569" t="s">
        <v>234</v>
      </c>
      <c r="D60" s="569"/>
      <c r="E60" s="569"/>
      <c r="F60" s="569"/>
      <c r="G60" s="569"/>
      <c r="H60" s="569"/>
      <c r="I60" s="569"/>
    </row>
    <row r="61" spans="1:9">
      <c r="B61" s="576"/>
      <c r="C61" s="575"/>
      <c r="D61" s="601"/>
      <c r="E61" s="600"/>
      <c r="F61" s="550"/>
      <c r="G61" s="550"/>
    </row>
    <row r="62" spans="1:9" ht="24">
      <c r="A62" s="561" t="s">
        <v>150</v>
      </c>
      <c r="B62" s="557" t="s">
        <v>149</v>
      </c>
      <c r="C62" s="582" t="s">
        <v>148</v>
      </c>
      <c r="D62" s="581" t="s">
        <v>222</v>
      </c>
      <c r="E62" s="561" t="s">
        <v>145</v>
      </c>
      <c r="F62" s="580" t="s">
        <v>144</v>
      </c>
      <c r="G62" s="561" t="s">
        <v>143</v>
      </c>
      <c r="H62" s="560" t="s">
        <v>141</v>
      </c>
    </row>
    <row r="63" spans="1:9" ht="72">
      <c r="A63" s="558">
        <v>15</v>
      </c>
      <c r="B63" s="557" t="s">
        <v>169</v>
      </c>
      <c r="C63" s="599" t="s">
        <v>233</v>
      </c>
      <c r="D63" s="555">
        <v>5</v>
      </c>
      <c r="E63" s="553">
        <f>'Detailed Budget'!J18</f>
        <v>88000</v>
      </c>
      <c r="F63" s="552">
        <f>D63*E63</f>
        <v>440000</v>
      </c>
      <c r="G63" s="799" t="s">
        <v>136</v>
      </c>
      <c r="H63" s="805" t="s">
        <v>168</v>
      </c>
    </row>
    <row r="65" spans="1:9">
      <c r="A65" s="568"/>
      <c r="B65" s="567"/>
      <c r="C65" s="569" t="s">
        <v>232</v>
      </c>
      <c r="D65" s="565"/>
      <c r="E65" s="564"/>
      <c r="F65" s="563"/>
      <c r="G65" s="562"/>
    </row>
    <row r="66" spans="1:9">
      <c r="A66" s="568"/>
      <c r="B66" s="568"/>
      <c r="C66" s="570"/>
      <c r="D66" s="565"/>
      <c r="E66" s="564"/>
      <c r="F66" s="563"/>
      <c r="G66" s="562"/>
      <c r="I66" s="834"/>
    </row>
    <row r="67" spans="1:9" ht="24">
      <c r="A67" s="561" t="s">
        <v>150</v>
      </c>
      <c r="B67" s="557" t="s">
        <v>149</v>
      </c>
      <c r="C67" s="582" t="s">
        <v>148</v>
      </c>
      <c r="D67" s="581" t="s">
        <v>222</v>
      </c>
      <c r="E67" s="561" t="s">
        <v>145</v>
      </c>
      <c r="F67" s="580" t="s">
        <v>144</v>
      </c>
      <c r="G67" s="561" t="s">
        <v>143</v>
      </c>
      <c r="H67" s="560" t="s">
        <v>141</v>
      </c>
      <c r="I67" s="560" t="s">
        <v>142</v>
      </c>
    </row>
    <row r="68" spans="1:9" ht="48">
      <c r="A68" s="558">
        <v>16</v>
      </c>
      <c r="B68" s="557" t="s">
        <v>161</v>
      </c>
      <c r="C68" s="599" t="s">
        <v>443</v>
      </c>
      <c r="D68" s="555">
        <v>5</v>
      </c>
      <c r="E68" s="553">
        <f>'Detailed Budget'!J19</f>
        <v>132115</v>
      </c>
      <c r="F68" s="598">
        <f>+E68*D68</f>
        <v>660575</v>
      </c>
      <c r="G68" s="799" t="s">
        <v>136</v>
      </c>
      <c r="H68" s="805" t="s">
        <v>168</v>
      </c>
      <c r="I68" s="543"/>
    </row>
    <row r="69" spans="1:9" ht="24">
      <c r="A69" s="561"/>
      <c r="B69" s="557" t="s">
        <v>149</v>
      </c>
      <c r="C69" s="582"/>
      <c r="D69" s="581" t="s">
        <v>224</v>
      </c>
      <c r="E69" s="830"/>
      <c r="F69" s="830"/>
      <c r="G69" s="830"/>
      <c r="H69" s="830"/>
      <c r="I69" s="830"/>
    </row>
    <row r="70" spans="1:9" ht="48">
      <c r="A70" s="558">
        <v>17</v>
      </c>
      <c r="B70" s="557" t="s">
        <v>223</v>
      </c>
      <c r="C70" s="559" t="s">
        <v>442</v>
      </c>
      <c r="D70" s="555">
        <v>11</v>
      </c>
      <c r="E70" s="596">
        <f>'Detailed Budget'!J20</f>
        <v>20018.18181818182</v>
      </c>
      <c r="F70" s="833">
        <f>+E70*D70</f>
        <v>220200.00000000003</v>
      </c>
      <c r="G70" s="799" t="s">
        <v>136</v>
      </c>
      <c r="H70" s="825" t="s">
        <v>219</v>
      </c>
      <c r="I70" s="543"/>
    </row>
    <row r="71" spans="1:9">
      <c r="A71" s="965"/>
      <c r="B71" s="966"/>
      <c r="C71" s="967"/>
      <c r="D71" s="581" t="s">
        <v>222</v>
      </c>
      <c r="E71" s="830"/>
      <c r="F71" s="830"/>
      <c r="G71" s="830"/>
      <c r="H71" s="830"/>
      <c r="I71" s="830"/>
    </row>
    <row r="72" spans="1:9" ht="60">
      <c r="A72" s="558">
        <v>18</v>
      </c>
      <c r="B72" s="557" t="s">
        <v>221</v>
      </c>
      <c r="C72" s="559" t="s">
        <v>441</v>
      </c>
      <c r="D72" s="555">
        <v>1</v>
      </c>
      <c r="E72" s="596">
        <f>'Detailed Budget'!J21</f>
        <v>68000</v>
      </c>
      <c r="F72" s="833">
        <f>D72*E72</f>
        <v>68000</v>
      </c>
      <c r="G72" s="799" t="s">
        <v>136</v>
      </c>
      <c r="H72" s="825" t="s">
        <v>219</v>
      </c>
      <c r="I72" s="543"/>
    </row>
    <row r="73" spans="1:9" ht="36">
      <c r="A73" s="558">
        <v>19</v>
      </c>
      <c r="B73" s="557" t="s">
        <v>220</v>
      </c>
      <c r="C73" s="559" t="s">
        <v>440</v>
      </c>
      <c r="D73" s="555">
        <v>1</v>
      </c>
      <c r="E73" s="596">
        <f>'Detailed Budget'!J22</f>
        <v>12000</v>
      </c>
      <c r="F73" s="833">
        <f>D73*E73</f>
        <v>12000</v>
      </c>
      <c r="G73" s="799" t="s">
        <v>136</v>
      </c>
      <c r="H73" s="825" t="s">
        <v>219</v>
      </c>
      <c r="I73" s="543"/>
    </row>
    <row r="74" spans="1:9" ht="60">
      <c r="A74" s="819">
        <v>20</v>
      </c>
      <c r="B74" s="819" t="s">
        <v>218</v>
      </c>
      <c r="C74" s="556" t="s">
        <v>217</v>
      </c>
      <c r="D74" s="817">
        <v>1</v>
      </c>
      <c r="E74" s="816">
        <f>36000+18000+128380</f>
        <v>182380</v>
      </c>
      <c r="F74" s="815">
        <f>D74*E74</f>
        <v>182380</v>
      </c>
      <c r="G74" s="823" t="s">
        <v>136</v>
      </c>
      <c r="H74" s="831" t="s">
        <v>168</v>
      </c>
      <c r="I74" s="543"/>
    </row>
    <row r="75" spans="1:9" ht="24">
      <c r="A75" s="558">
        <v>21</v>
      </c>
      <c r="B75" s="557" t="s">
        <v>231</v>
      </c>
      <c r="C75" s="559" t="s">
        <v>230</v>
      </c>
      <c r="D75" s="555">
        <v>45000</v>
      </c>
      <c r="E75" s="596">
        <f>'Detailed Budget'!J24</f>
        <v>25.850192463080017</v>
      </c>
      <c r="F75" s="833">
        <v>1163258.6608386007</v>
      </c>
      <c r="G75" s="799" t="s">
        <v>136</v>
      </c>
      <c r="H75" s="825" t="s">
        <v>229</v>
      </c>
      <c r="I75" s="543"/>
    </row>
    <row r="76" spans="1:9" ht="60">
      <c r="A76" s="558">
        <v>22</v>
      </c>
      <c r="B76" s="557" t="s">
        <v>228</v>
      </c>
      <c r="C76" s="559" t="s">
        <v>227</v>
      </c>
      <c r="D76" s="555">
        <v>45000</v>
      </c>
      <c r="E76" s="596">
        <f>'Detailed Budget'!J25</f>
        <v>120.36120154715894</v>
      </c>
      <c r="F76" s="833">
        <f>E76*D76</f>
        <v>5416254.0696221525</v>
      </c>
      <c r="G76" s="799" t="s">
        <v>136</v>
      </c>
      <c r="H76" s="825" t="s">
        <v>168</v>
      </c>
      <c r="I76" s="543"/>
    </row>
    <row r="77" spans="1:9" ht="36">
      <c r="A77" s="819">
        <v>23</v>
      </c>
      <c r="B77" s="832" t="s">
        <v>226</v>
      </c>
      <c r="C77" s="559" t="s">
        <v>439</v>
      </c>
      <c r="D77" s="817">
        <v>45000</v>
      </c>
      <c r="E77" s="808">
        <f>F77/D77</f>
        <v>214.55642222222221</v>
      </c>
      <c r="F77" s="807">
        <v>9655039</v>
      </c>
      <c r="G77" s="799" t="s">
        <v>136</v>
      </c>
      <c r="H77" s="831" t="s">
        <v>168</v>
      </c>
      <c r="I77" s="543"/>
    </row>
    <row r="78" spans="1:9" ht="24">
      <c r="A78" s="965"/>
      <c r="B78" s="966"/>
      <c r="C78" s="967"/>
      <c r="D78" s="581" t="s">
        <v>181</v>
      </c>
      <c r="E78" s="830"/>
      <c r="F78" s="830"/>
      <c r="G78" s="830"/>
      <c r="H78" s="830"/>
      <c r="I78" s="830"/>
    </row>
    <row r="79" spans="1:9" ht="36">
      <c r="A79" s="558">
        <v>24</v>
      </c>
      <c r="B79" s="557" t="s">
        <v>216</v>
      </c>
      <c r="C79" s="559" t="s">
        <v>215</v>
      </c>
      <c r="D79" s="593">
        <v>260000</v>
      </c>
      <c r="E79" s="553">
        <f>'Detailed Budget'!J27</f>
        <v>168.76121611230241</v>
      </c>
      <c r="F79" s="552">
        <f>D79*E79</f>
        <v>43877916.189198628</v>
      </c>
      <c r="G79" s="585" t="s">
        <v>157</v>
      </c>
      <c r="H79" s="825" t="s">
        <v>427</v>
      </c>
      <c r="I79" s="824" t="s">
        <v>214</v>
      </c>
    </row>
    <row r="80" spans="1:9" ht="36">
      <c r="A80" s="558">
        <v>25</v>
      </c>
      <c r="B80" s="557" t="s">
        <v>213</v>
      </c>
      <c r="C80" s="559" t="s">
        <v>212</v>
      </c>
      <c r="D80" s="555">
        <v>260000</v>
      </c>
      <c r="E80" s="553">
        <f>'Detailed Budget'!J28</f>
        <v>47.077495068793667</v>
      </c>
      <c r="F80" s="552">
        <f>D80*E80</f>
        <v>12240148.717886353</v>
      </c>
      <c r="G80" s="585" t="s">
        <v>157</v>
      </c>
      <c r="H80" s="825" t="s">
        <v>427</v>
      </c>
      <c r="I80" s="824" t="s">
        <v>211</v>
      </c>
    </row>
    <row r="81" spans="1:9">
      <c r="A81" s="568"/>
      <c r="B81" s="567"/>
      <c r="C81" s="829"/>
      <c r="D81" s="565"/>
      <c r="E81" s="564"/>
      <c r="F81" s="563"/>
      <c r="G81" s="562"/>
    </row>
    <row r="82" spans="1:9">
      <c r="C82" s="569" t="s">
        <v>225</v>
      </c>
    </row>
    <row r="83" spans="1:9">
      <c r="A83" s="542"/>
      <c r="B83" s="548"/>
      <c r="C83" s="570"/>
      <c r="D83" s="570"/>
      <c r="E83" s="570"/>
      <c r="F83" s="570"/>
      <c r="G83" s="570"/>
      <c r="H83" s="570"/>
      <c r="I83" s="570"/>
    </row>
    <row r="84" spans="1:9" ht="24">
      <c r="A84" s="561" t="s">
        <v>150</v>
      </c>
      <c r="B84" s="557" t="s">
        <v>149</v>
      </c>
      <c r="C84" s="582" t="s">
        <v>148</v>
      </c>
      <c r="D84" s="581" t="s">
        <v>181</v>
      </c>
      <c r="E84" s="561" t="s">
        <v>145</v>
      </c>
      <c r="F84" s="580" t="s">
        <v>144</v>
      </c>
      <c r="G84" s="561" t="s">
        <v>143</v>
      </c>
      <c r="H84" s="561" t="s">
        <v>141</v>
      </c>
    </row>
    <row r="85" spans="1:9" ht="36">
      <c r="A85" s="558">
        <v>26</v>
      </c>
      <c r="B85" s="557" t="s">
        <v>160</v>
      </c>
      <c r="C85" s="597" t="s">
        <v>438</v>
      </c>
      <c r="D85" s="555">
        <v>2500</v>
      </c>
      <c r="E85" s="553">
        <f>'Detailed Budget'!J29</f>
        <v>348.39342285858777</v>
      </c>
      <c r="F85" s="552">
        <f>+E85*D85</f>
        <v>870983.55714646948</v>
      </c>
      <c r="G85" s="799" t="s">
        <v>136</v>
      </c>
      <c r="H85" s="805" t="s">
        <v>168</v>
      </c>
    </row>
    <row r="86" spans="1:9" ht="34.5" customHeight="1">
      <c r="A86" s="558">
        <v>27</v>
      </c>
      <c r="B86" s="557" t="s">
        <v>177</v>
      </c>
      <c r="C86" s="597" t="s">
        <v>437</v>
      </c>
      <c r="D86" s="555">
        <v>2500</v>
      </c>
      <c r="E86" s="553">
        <f>'Detailed Budget'!J30</f>
        <v>233.60761523905853</v>
      </c>
      <c r="F86" s="552">
        <f>+E86*D86</f>
        <v>584019.03809764632</v>
      </c>
      <c r="G86" s="799" t="s">
        <v>136</v>
      </c>
      <c r="H86" s="805" t="s">
        <v>168</v>
      </c>
      <c r="I86" s="584"/>
    </row>
    <row r="87" spans="1:9">
      <c r="A87" s="542"/>
      <c r="B87" s="583"/>
      <c r="C87" s="542"/>
      <c r="D87" s="542"/>
      <c r="E87" s="542"/>
    </row>
    <row r="88" spans="1:9">
      <c r="A88" s="542"/>
      <c r="B88" s="583"/>
      <c r="C88" s="591" t="s">
        <v>413</v>
      </c>
      <c r="D88" s="552">
        <f>F38+(F39/3)*2+F44+F63/4+F76+F77/2+F86</f>
        <v>11304691.545647778</v>
      </c>
      <c r="E88" s="803">
        <f>D88/'Detailed Budget'!W32</f>
        <v>0.25546907784382517</v>
      </c>
    </row>
    <row r="89" spans="1:9">
      <c r="A89" s="542"/>
      <c r="B89" s="583"/>
      <c r="C89" s="542"/>
      <c r="D89" s="542"/>
      <c r="E89" s="542"/>
    </row>
    <row r="90" spans="1:9">
      <c r="A90" s="542"/>
      <c r="C90" s="569" t="s">
        <v>210</v>
      </c>
      <c r="D90" s="569"/>
      <c r="E90" s="569"/>
      <c r="F90" s="569"/>
      <c r="G90" s="569"/>
      <c r="H90" s="569"/>
      <c r="I90" s="569"/>
    </row>
    <row r="91" spans="1:9">
      <c r="A91" s="542"/>
      <c r="C91" s="569" t="s">
        <v>209</v>
      </c>
      <c r="D91" s="569"/>
      <c r="E91" s="569"/>
      <c r="F91" s="569"/>
      <c r="G91" s="569"/>
      <c r="H91" s="569"/>
      <c r="I91" s="569"/>
    </row>
    <row r="92" spans="1:9">
      <c r="A92" s="542"/>
      <c r="C92" s="569" t="s">
        <v>208</v>
      </c>
      <c r="D92" s="569"/>
      <c r="E92" s="569"/>
      <c r="F92" s="569"/>
      <c r="G92" s="569"/>
      <c r="H92" s="569"/>
      <c r="I92" s="569"/>
    </row>
    <row r="93" spans="1:9">
      <c r="A93" s="542"/>
      <c r="B93" s="583"/>
      <c r="C93" s="542"/>
      <c r="D93" s="542"/>
      <c r="E93" s="542"/>
    </row>
    <row r="94" spans="1:9" ht="24">
      <c r="A94" s="561" t="s">
        <v>150</v>
      </c>
      <c r="B94" s="557" t="s">
        <v>149</v>
      </c>
      <c r="C94" s="582" t="s">
        <v>148</v>
      </c>
      <c r="D94" s="581" t="s">
        <v>207</v>
      </c>
      <c r="E94" s="561" t="s">
        <v>145</v>
      </c>
      <c r="F94" s="580" t="s">
        <v>144</v>
      </c>
      <c r="G94" s="561" t="s">
        <v>143</v>
      </c>
      <c r="H94" s="560" t="s">
        <v>141</v>
      </c>
      <c r="I94" s="560" t="s">
        <v>142</v>
      </c>
    </row>
    <row r="95" spans="1:9" ht="15" customHeight="1">
      <c r="A95" s="979">
        <v>28</v>
      </c>
      <c r="B95" s="976" t="s">
        <v>206</v>
      </c>
      <c r="C95" s="559" t="s">
        <v>205</v>
      </c>
      <c r="D95" s="555">
        <v>540</v>
      </c>
      <c r="E95" s="553">
        <v>3000</v>
      </c>
      <c r="F95" s="828">
        <f>1620000-F96-F97-F98-F99--0.153238518629223</f>
        <v>1377500.1532385186</v>
      </c>
      <c r="G95" s="949" t="s">
        <v>136</v>
      </c>
      <c r="H95" s="984" t="s">
        <v>168</v>
      </c>
    </row>
    <row r="96" spans="1:9" ht="15" customHeight="1">
      <c r="A96" s="980"/>
      <c r="B96" s="977"/>
      <c r="C96" s="559" t="s">
        <v>204</v>
      </c>
      <c r="D96" s="555">
        <v>50</v>
      </c>
      <c r="E96" s="553">
        <v>250</v>
      </c>
      <c r="F96" s="828">
        <f>D96*E96</f>
        <v>12500</v>
      </c>
      <c r="G96" s="950"/>
      <c r="H96" s="985"/>
    </row>
    <row r="97" spans="1:9" ht="15" customHeight="1">
      <c r="A97" s="980"/>
      <c r="B97" s="977"/>
      <c r="C97" s="559" t="s">
        <v>203</v>
      </c>
      <c r="D97" s="555">
        <v>50</v>
      </c>
      <c r="E97" s="553">
        <v>2500</v>
      </c>
      <c r="F97" s="828">
        <f>D97*E97</f>
        <v>125000</v>
      </c>
      <c r="G97" s="950"/>
      <c r="H97" s="985"/>
    </row>
    <row r="98" spans="1:9" ht="15" customHeight="1">
      <c r="A98" s="980"/>
      <c r="B98" s="977"/>
      <c r="C98" s="559" t="s">
        <v>202</v>
      </c>
      <c r="D98" s="555">
        <v>100</v>
      </c>
      <c r="E98" s="553">
        <v>1000</v>
      </c>
      <c r="F98" s="828">
        <f>D98*E98</f>
        <v>100000</v>
      </c>
      <c r="G98" s="950"/>
      <c r="H98" s="985"/>
    </row>
    <row r="99" spans="1:9" ht="15" customHeight="1">
      <c r="A99" s="980"/>
      <c r="B99" s="977"/>
      <c r="C99" s="559" t="s">
        <v>201</v>
      </c>
      <c r="D99" s="555">
        <v>10</v>
      </c>
      <c r="E99" s="553">
        <v>500</v>
      </c>
      <c r="F99" s="828">
        <f>D99*E99</f>
        <v>5000</v>
      </c>
      <c r="G99" s="950"/>
      <c r="H99" s="985"/>
    </row>
    <row r="100" spans="1:9" ht="15" customHeight="1">
      <c r="A100" s="980"/>
      <c r="B100" s="977"/>
      <c r="C100" s="559" t="s">
        <v>200</v>
      </c>
      <c r="D100" s="555">
        <v>40</v>
      </c>
      <c r="E100" s="553">
        <v>2000</v>
      </c>
      <c r="F100" s="828">
        <v>80000</v>
      </c>
      <c r="G100" s="950"/>
      <c r="H100" s="985"/>
    </row>
    <row r="101" spans="1:9">
      <c r="A101" s="980"/>
      <c r="B101" s="977"/>
      <c r="C101" s="559" t="s">
        <v>199</v>
      </c>
      <c r="D101" s="555">
        <v>540</v>
      </c>
      <c r="E101" s="553">
        <v>2000</v>
      </c>
      <c r="F101" s="828">
        <v>1080000</v>
      </c>
      <c r="G101" s="950"/>
      <c r="H101" s="985"/>
    </row>
    <row r="102" spans="1:9" ht="15" customHeight="1">
      <c r="A102" s="980"/>
      <c r="B102" s="977"/>
      <c r="C102" s="559" t="s">
        <v>198</v>
      </c>
      <c r="D102" s="555">
        <v>540</v>
      </c>
      <c r="E102" s="553">
        <v>194</v>
      </c>
      <c r="F102" s="828">
        <v>104671</v>
      </c>
      <c r="G102" s="950"/>
      <c r="H102" s="985"/>
    </row>
    <row r="103" spans="1:9" ht="15" customHeight="1">
      <c r="A103" s="981"/>
      <c r="B103" s="978"/>
      <c r="C103" s="592" t="s">
        <v>154</v>
      </c>
      <c r="D103" s="591"/>
      <c r="E103" s="590"/>
      <c r="F103" s="598">
        <f>SUM(F95:F102)</f>
        <v>2884671.1532385186</v>
      </c>
      <c r="G103" s="950"/>
      <c r="H103" s="986"/>
    </row>
    <row r="104" spans="1:9" s="588" customFormat="1">
      <c r="A104" s="982"/>
      <c r="B104" s="982"/>
      <c r="C104" s="983"/>
      <c r="D104" s="589" t="s">
        <v>165</v>
      </c>
      <c r="E104" s="952"/>
      <c r="F104" s="953"/>
      <c r="G104" s="953"/>
      <c r="H104" s="953"/>
      <c r="I104" s="953"/>
    </row>
    <row r="105" spans="1:9" ht="36">
      <c r="A105" s="558">
        <v>29</v>
      </c>
      <c r="B105" s="557" t="s">
        <v>161</v>
      </c>
      <c r="C105" s="556" t="s">
        <v>197</v>
      </c>
      <c r="D105" s="555">
        <v>540</v>
      </c>
      <c r="E105" s="553">
        <f>'Detailed Budget'!J34</f>
        <v>942.46769713677099</v>
      </c>
      <c r="F105" s="552">
        <f>D105*E105</f>
        <v>508932.55645385635</v>
      </c>
      <c r="G105" s="799" t="s">
        <v>136</v>
      </c>
      <c r="H105" s="805" t="s">
        <v>168</v>
      </c>
      <c r="I105" s="827"/>
    </row>
    <row r="106" spans="1:9" ht="36">
      <c r="A106" s="558">
        <v>30</v>
      </c>
      <c r="B106" s="557" t="s">
        <v>196</v>
      </c>
      <c r="C106" s="559" t="s">
        <v>195</v>
      </c>
      <c r="D106" s="555">
        <v>550</v>
      </c>
      <c r="E106" s="553">
        <f>'Detailed Budget'!J35</f>
        <v>12480.919185453437</v>
      </c>
      <c r="F106" s="552">
        <f>E106*D106</f>
        <v>6864505.5519993901</v>
      </c>
      <c r="G106" s="585" t="s">
        <v>157</v>
      </c>
      <c r="H106" s="825" t="s">
        <v>427</v>
      </c>
      <c r="I106" s="826" t="s">
        <v>194</v>
      </c>
    </row>
    <row r="107" spans="1:9" ht="24">
      <c r="A107" s="558">
        <v>31</v>
      </c>
      <c r="B107" s="557" t="s">
        <v>177</v>
      </c>
      <c r="C107" s="559" t="s">
        <v>436</v>
      </c>
      <c r="D107" s="555">
        <v>550</v>
      </c>
      <c r="E107" s="553">
        <f>'Detailed Budget'!J36</f>
        <v>1924.678247876624</v>
      </c>
      <c r="F107" s="552">
        <f>E107*D107</f>
        <v>1058573.0363321432</v>
      </c>
      <c r="G107" s="585" t="s">
        <v>157</v>
      </c>
      <c r="H107" s="825" t="s">
        <v>427</v>
      </c>
      <c r="I107" s="826" t="s">
        <v>193</v>
      </c>
    </row>
    <row r="108" spans="1:9">
      <c r="A108" s="542"/>
      <c r="B108" s="583"/>
      <c r="C108" s="542"/>
      <c r="D108" s="542"/>
      <c r="E108" s="542"/>
    </row>
    <row r="109" spans="1:9">
      <c r="A109" s="542"/>
      <c r="B109" s="583"/>
      <c r="C109" s="569" t="s">
        <v>192</v>
      </c>
      <c r="D109" s="569"/>
      <c r="E109" s="569"/>
      <c r="F109" s="569"/>
      <c r="G109" s="569"/>
      <c r="H109" s="569"/>
      <c r="I109" s="569"/>
    </row>
    <row r="110" spans="1:9">
      <c r="A110" s="542"/>
      <c r="C110" s="569" t="s">
        <v>191</v>
      </c>
      <c r="D110" s="569"/>
      <c r="E110" s="569"/>
      <c r="F110" s="569"/>
      <c r="G110" s="569"/>
      <c r="H110" s="569"/>
      <c r="I110" s="569"/>
    </row>
    <row r="111" spans="1:9">
      <c r="A111" s="542"/>
      <c r="B111" s="583"/>
      <c r="C111" s="542"/>
      <c r="D111" s="542"/>
      <c r="E111" s="542"/>
    </row>
    <row r="112" spans="1:9" ht="24">
      <c r="A112" s="561" t="s">
        <v>150</v>
      </c>
      <c r="B112" s="557" t="s">
        <v>149</v>
      </c>
      <c r="C112" s="582" t="s">
        <v>148</v>
      </c>
      <c r="D112" s="581" t="s">
        <v>186</v>
      </c>
      <c r="E112" s="561" t="s">
        <v>145</v>
      </c>
      <c r="F112" s="580" t="s">
        <v>144</v>
      </c>
      <c r="G112" s="561" t="s">
        <v>143</v>
      </c>
      <c r="H112" s="560" t="s">
        <v>141</v>
      </c>
    </row>
    <row r="113" spans="1:9" ht="48">
      <c r="A113" s="558">
        <v>32</v>
      </c>
      <c r="B113" s="557" t="s">
        <v>169</v>
      </c>
      <c r="C113" s="559" t="s">
        <v>190</v>
      </c>
      <c r="D113" s="555">
        <v>2000</v>
      </c>
      <c r="E113" s="553">
        <f>'Detailed Budget'!J38</f>
        <v>474.48805257800547</v>
      </c>
      <c r="F113" s="552">
        <f>+E113*D113</f>
        <v>948976.10515601095</v>
      </c>
      <c r="G113" s="799" t="s">
        <v>136</v>
      </c>
      <c r="H113" s="805" t="s">
        <v>168</v>
      </c>
    </row>
    <row r="114" spans="1:9">
      <c r="A114" s="542"/>
      <c r="B114" s="583"/>
      <c r="C114" s="542"/>
      <c r="D114" s="542"/>
      <c r="E114" s="542"/>
    </row>
    <row r="115" spans="1:9">
      <c r="A115" s="542"/>
      <c r="B115" s="583"/>
      <c r="C115" s="591" t="s">
        <v>413</v>
      </c>
      <c r="D115" s="552">
        <f>F113</f>
        <v>948976.10515601095</v>
      </c>
      <c r="E115" s="803">
        <f>D115/'Detailed Budget'!W40</f>
        <v>0.21852818960545523</v>
      </c>
    </row>
    <row r="116" spans="1:9">
      <c r="A116" s="542"/>
      <c r="B116" s="583"/>
      <c r="C116" s="542"/>
      <c r="D116" s="542"/>
      <c r="E116" s="542"/>
    </row>
    <row r="117" spans="1:9">
      <c r="A117" s="542"/>
      <c r="C117" s="569" t="s">
        <v>189</v>
      </c>
      <c r="D117" s="569"/>
      <c r="E117" s="569"/>
      <c r="F117" s="569"/>
      <c r="G117" s="569"/>
      <c r="H117" s="569"/>
      <c r="I117" s="569"/>
    </row>
    <row r="118" spans="1:9">
      <c r="A118" s="542"/>
      <c r="C118" s="569" t="s">
        <v>188</v>
      </c>
      <c r="D118" s="569"/>
      <c r="E118" s="569"/>
      <c r="F118" s="569"/>
      <c r="G118" s="569"/>
      <c r="H118" s="569"/>
      <c r="I118" s="569"/>
    </row>
    <row r="119" spans="1:9">
      <c r="A119" s="542"/>
      <c r="C119" s="569" t="s">
        <v>187</v>
      </c>
      <c r="D119" s="569"/>
      <c r="E119" s="569"/>
      <c r="F119" s="569"/>
      <c r="G119" s="569"/>
      <c r="H119" s="569"/>
      <c r="I119" s="569"/>
    </row>
    <row r="120" spans="1:9">
      <c r="A120" s="542"/>
      <c r="B120" s="583"/>
      <c r="C120" s="542"/>
      <c r="D120" s="542"/>
      <c r="E120" s="542"/>
    </row>
    <row r="121" spans="1:9" ht="24">
      <c r="A121" s="561" t="s">
        <v>150</v>
      </c>
      <c r="B121" s="557" t="s">
        <v>149</v>
      </c>
      <c r="C121" s="582" t="s">
        <v>148</v>
      </c>
      <c r="D121" s="581" t="s">
        <v>186</v>
      </c>
      <c r="E121" s="561" t="s">
        <v>145</v>
      </c>
      <c r="F121" s="580" t="s">
        <v>144</v>
      </c>
      <c r="G121" s="561" t="s">
        <v>143</v>
      </c>
      <c r="H121" s="560" t="s">
        <v>141</v>
      </c>
      <c r="I121" s="560" t="s">
        <v>142</v>
      </c>
    </row>
    <row r="122" spans="1:9" ht="96">
      <c r="A122" s="558">
        <v>33</v>
      </c>
      <c r="B122" s="557" t="s">
        <v>169</v>
      </c>
      <c r="C122" s="559" t="s">
        <v>185</v>
      </c>
      <c r="D122" s="555">
        <v>2000</v>
      </c>
      <c r="E122" s="553">
        <f>'Detailed Budget'!J41</f>
        <v>205.28758886645858</v>
      </c>
      <c r="F122" s="552">
        <f>D122*E122</f>
        <v>410575.17773291713</v>
      </c>
      <c r="G122" s="799" t="s">
        <v>136</v>
      </c>
      <c r="H122" s="805" t="s">
        <v>168</v>
      </c>
      <c r="I122" s="543"/>
    </row>
    <row r="123" spans="1:9">
      <c r="A123" s="965"/>
      <c r="B123" s="966"/>
      <c r="C123" s="967"/>
      <c r="D123" s="581" t="s">
        <v>184</v>
      </c>
      <c r="E123" s="952"/>
      <c r="F123" s="953"/>
      <c r="G123" s="953"/>
      <c r="H123" s="953"/>
      <c r="I123" s="953"/>
    </row>
    <row r="124" spans="1:9" ht="96">
      <c r="A124" s="558">
        <v>34</v>
      </c>
      <c r="B124" s="557" t="s">
        <v>169</v>
      </c>
      <c r="C124" s="559" t="s">
        <v>183</v>
      </c>
      <c r="D124" s="555">
        <v>100</v>
      </c>
      <c r="E124" s="553">
        <f>+'Detailed Budget'!J42</f>
        <v>1537.1672329950586</v>
      </c>
      <c r="F124" s="552">
        <f>E124*D124</f>
        <v>153716.72329950586</v>
      </c>
      <c r="G124" s="799" t="s">
        <v>136</v>
      </c>
      <c r="H124" s="805" t="s">
        <v>168</v>
      </c>
      <c r="I124" s="543"/>
    </row>
    <row r="125" spans="1:9" ht="24">
      <c r="A125" s="558">
        <v>35</v>
      </c>
      <c r="B125" s="557" t="s">
        <v>161</v>
      </c>
      <c r="C125" s="559" t="s">
        <v>182</v>
      </c>
      <c r="D125" s="555">
        <v>100</v>
      </c>
      <c r="E125" s="553">
        <f>+'Detailed Budget'!J43</f>
        <v>531.41545566588798</v>
      </c>
      <c r="F125" s="552">
        <f>E125*D125</f>
        <v>53141.5455665888</v>
      </c>
      <c r="G125" s="799" t="s">
        <v>136</v>
      </c>
      <c r="H125" s="805" t="s">
        <v>168</v>
      </c>
      <c r="I125" s="543"/>
    </row>
    <row r="126" spans="1:9" ht="24">
      <c r="A126" s="987"/>
      <c r="B126" s="988"/>
      <c r="C126" s="988"/>
      <c r="D126" s="586" t="s">
        <v>181</v>
      </c>
      <c r="E126" s="952"/>
      <c r="F126" s="953"/>
      <c r="G126" s="953"/>
      <c r="H126" s="953"/>
      <c r="I126" s="953"/>
    </row>
    <row r="127" spans="1:9" ht="36">
      <c r="A127" s="558">
        <v>36</v>
      </c>
      <c r="B127" s="557" t="s">
        <v>177</v>
      </c>
      <c r="C127" s="559" t="s">
        <v>180</v>
      </c>
      <c r="D127" s="555">
        <v>70000</v>
      </c>
      <c r="E127" s="553">
        <f>'Detailed Budget'!J44</f>
        <v>30.868413775474139</v>
      </c>
      <c r="F127" s="552">
        <f>D127*E127</f>
        <v>2160788.9642831897</v>
      </c>
      <c r="G127" s="585" t="s">
        <v>157</v>
      </c>
      <c r="H127" s="825" t="s">
        <v>427</v>
      </c>
      <c r="I127" s="824" t="s">
        <v>179</v>
      </c>
    </row>
    <row r="128" spans="1:9">
      <c r="A128" s="965"/>
      <c r="B128" s="966"/>
      <c r="C128" s="967"/>
      <c r="D128" s="586" t="s">
        <v>178</v>
      </c>
      <c r="E128" s="952"/>
      <c r="F128" s="953"/>
      <c r="G128" s="953"/>
      <c r="H128" s="953"/>
      <c r="I128" s="953"/>
    </row>
    <row r="129" spans="1:9" ht="72">
      <c r="A129" s="558">
        <v>37</v>
      </c>
      <c r="B129" s="557" t="s">
        <v>177</v>
      </c>
      <c r="C129" s="559" t="s">
        <v>435</v>
      </c>
      <c r="D129" s="555">
        <v>1</v>
      </c>
      <c r="E129" s="553">
        <f>'Detailed Budget'!J45</f>
        <v>1479323.2114750906</v>
      </c>
      <c r="F129" s="552">
        <f>E129*D129</f>
        <v>1479323.2114750906</v>
      </c>
      <c r="G129" s="585" t="s">
        <v>157</v>
      </c>
      <c r="H129" s="825" t="s">
        <v>427</v>
      </c>
      <c r="I129" s="824" t="s">
        <v>176</v>
      </c>
    </row>
    <row r="130" spans="1:9">
      <c r="A130" s="542"/>
      <c r="B130" s="583"/>
      <c r="C130" s="542"/>
      <c r="D130" s="542"/>
      <c r="E130" s="542"/>
      <c r="G130" s="584"/>
    </row>
    <row r="131" spans="1:9">
      <c r="A131" s="542"/>
      <c r="C131" s="569" t="s">
        <v>175</v>
      </c>
      <c r="D131" s="569"/>
      <c r="E131" s="569"/>
      <c r="F131" s="569"/>
      <c r="G131" s="569"/>
      <c r="H131" s="569"/>
      <c r="I131" s="569"/>
    </row>
    <row r="132" spans="1:9">
      <c r="A132" s="542"/>
      <c r="B132" s="583"/>
      <c r="C132" s="542"/>
      <c r="D132" s="542"/>
      <c r="E132" s="542"/>
    </row>
    <row r="133" spans="1:9" ht="24">
      <c r="A133" s="561" t="s">
        <v>150</v>
      </c>
      <c r="B133" s="557" t="s">
        <v>149</v>
      </c>
      <c r="C133" s="582" t="s">
        <v>148</v>
      </c>
      <c r="D133" s="581" t="s">
        <v>174</v>
      </c>
      <c r="E133" s="561" t="s">
        <v>145</v>
      </c>
      <c r="F133" s="580" t="s">
        <v>144</v>
      </c>
      <c r="G133" s="561" t="s">
        <v>143</v>
      </c>
      <c r="H133" s="561" t="s">
        <v>141</v>
      </c>
    </row>
    <row r="134" spans="1:9" ht="48">
      <c r="A134" s="558">
        <v>38</v>
      </c>
      <c r="B134" s="557" t="s">
        <v>173</v>
      </c>
      <c r="C134" s="559" t="s">
        <v>434</v>
      </c>
      <c r="D134" s="555">
        <v>30</v>
      </c>
      <c r="E134" s="553">
        <f>'Detailed Budget'!J46</f>
        <v>15646.666666666666</v>
      </c>
      <c r="F134" s="552">
        <f>D134*E134</f>
        <v>469400</v>
      </c>
      <c r="G134" s="799" t="s">
        <v>136</v>
      </c>
      <c r="H134" s="805" t="s">
        <v>168</v>
      </c>
    </row>
    <row r="135" spans="1:9" ht="36">
      <c r="A135" s="558">
        <v>39</v>
      </c>
      <c r="B135" s="557" t="s">
        <v>161</v>
      </c>
      <c r="C135" s="559" t="s">
        <v>172</v>
      </c>
      <c r="D135" s="555">
        <v>3</v>
      </c>
      <c r="E135" s="553">
        <f>'Detailed Budget'!J47</f>
        <v>164000</v>
      </c>
      <c r="F135" s="552">
        <f>D135*E135</f>
        <v>492000</v>
      </c>
      <c r="G135" s="799" t="s">
        <v>136</v>
      </c>
      <c r="H135" s="805" t="s">
        <v>168</v>
      </c>
    </row>
    <row r="137" spans="1:9">
      <c r="C137" s="569" t="s">
        <v>171</v>
      </c>
      <c r="D137" s="569"/>
      <c r="E137" s="569"/>
      <c r="F137" s="569"/>
      <c r="G137" s="569"/>
      <c r="H137" s="569"/>
      <c r="I137" s="569"/>
    </row>
    <row r="138" spans="1:9">
      <c r="B138" s="583"/>
      <c r="C138" s="542"/>
      <c r="D138" s="542"/>
      <c r="E138" s="542"/>
    </row>
    <row r="139" spans="1:9" ht="24">
      <c r="A139" s="561" t="s">
        <v>150</v>
      </c>
      <c r="B139" s="557" t="s">
        <v>149</v>
      </c>
      <c r="C139" s="582" t="s">
        <v>148</v>
      </c>
      <c r="D139" s="581" t="s">
        <v>170</v>
      </c>
      <c r="E139" s="561" t="s">
        <v>145</v>
      </c>
      <c r="F139" s="580" t="s">
        <v>144</v>
      </c>
      <c r="G139" s="561" t="s">
        <v>143</v>
      </c>
      <c r="H139" s="561" t="s">
        <v>141</v>
      </c>
    </row>
    <row r="140" spans="1:9">
      <c r="A140" s="819">
        <v>40</v>
      </c>
      <c r="B140" s="819" t="s">
        <v>163</v>
      </c>
      <c r="C140" s="556" t="s">
        <v>433</v>
      </c>
      <c r="D140" s="817">
        <v>4</v>
      </c>
      <c r="E140" s="816">
        <f>F140/D140</f>
        <v>10000</v>
      </c>
      <c r="F140" s="815">
        <v>40000</v>
      </c>
      <c r="G140" s="823" t="s">
        <v>136</v>
      </c>
      <c r="H140" s="822" t="s">
        <v>168</v>
      </c>
    </row>
    <row r="141" spans="1:9" ht="60">
      <c r="A141" s="558">
        <v>41</v>
      </c>
      <c r="B141" s="557" t="s">
        <v>169</v>
      </c>
      <c r="C141" s="559" t="s">
        <v>432</v>
      </c>
      <c r="D141" s="555">
        <v>20</v>
      </c>
      <c r="E141" s="553">
        <f>'Detailed Budget'!J49</f>
        <v>33028.758886645854</v>
      </c>
      <c r="F141" s="552">
        <f>D141*E141</f>
        <v>660575.17773291701</v>
      </c>
      <c r="G141" s="799" t="s">
        <v>136</v>
      </c>
      <c r="H141" s="805" t="s">
        <v>168</v>
      </c>
    </row>
    <row r="142" spans="1:9">
      <c r="B142" s="583"/>
      <c r="C142" s="542"/>
      <c r="D142" s="542"/>
      <c r="E142" s="542"/>
    </row>
    <row r="143" spans="1:9">
      <c r="B143" s="583"/>
      <c r="C143" s="591" t="s">
        <v>413</v>
      </c>
      <c r="D143" s="552">
        <f>F122+F124+F125+F134+F135+F141</f>
        <v>2239408.6243319288</v>
      </c>
      <c r="E143" s="803">
        <f>D143/'Detailed Budget'!W51</f>
        <v>0.98245158872656124</v>
      </c>
    </row>
    <row r="144" spans="1:9">
      <c r="B144" s="583"/>
      <c r="C144" s="542"/>
      <c r="D144" s="542"/>
      <c r="E144" s="542"/>
    </row>
    <row r="145" spans="1:9">
      <c r="C145" s="569" t="s">
        <v>167</v>
      </c>
      <c r="D145" s="569"/>
      <c r="E145" s="569"/>
      <c r="F145" s="821"/>
      <c r="G145" s="569"/>
      <c r="H145" s="569"/>
      <c r="I145" s="569"/>
    </row>
    <row r="146" spans="1:9">
      <c r="C146" s="569" t="s">
        <v>166</v>
      </c>
      <c r="D146" s="569"/>
      <c r="E146" s="569"/>
      <c r="F146" s="569"/>
      <c r="G146" s="569"/>
      <c r="H146" s="569"/>
      <c r="I146" s="569"/>
    </row>
    <row r="147" spans="1:9">
      <c r="B147" s="583"/>
      <c r="C147" s="542"/>
      <c r="D147" s="542"/>
      <c r="E147" s="542"/>
    </row>
    <row r="148" spans="1:9" ht="24">
      <c r="A148" s="561" t="s">
        <v>150</v>
      </c>
      <c r="B148" s="557" t="s">
        <v>149</v>
      </c>
      <c r="C148" s="582" t="s">
        <v>148</v>
      </c>
      <c r="D148" s="581" t="s">
        <v>165</v>
      </c>
      <c r="E148" s="561" t="s">
        <v>145</v>
      </c>
      <c r="F148" s="580" t="s">
        <v>144</v>
      </c>
      <c r="G148" s="561" t="s">
        <v>143</v>
      </c>
      <c r="H148" s="560" t="s">
        <v>141</v>
      </c>
      <c r="I148" s="560" t="s">
        <v>142</v>
      </c>
    </row>
    <row r="149" spans="1:9" ht="36">
      <c r="A149" s="558">
        <v>42</v>
      </c>
      <c r="B149" s="557" t="s">
        <v>160</v>
      </c>
      <c r="C149" s="559" t="s">
        <v>164</v>
      </c>
      <c r="D149" s="555">
        <v>2</v>
      </c>
      <c r="E149" s="553">
        <f>'Detailed Budget'!J52</f>
        <v>27817.799328000008</v>
      </c>
      <c r="F149" s="552">
        <f>D149*E149</f>
        <v>55635.598656000016</v>
      </c>
      <c r="G149" s="799" t="s">
        <v>136</v>
      </c>
      <c r="H149" s="805" t="s">
        <v>415</v>
      </c>
      <c r="I149" s="543"/>
    </row>
    <row r="150" spans="1:9" ht="36">
      <c r="A150" s="989">
        <v>43</v>
      </c>
      <c r="B150" s="819" t="s">
        <v>161</v>
      </c>
      <c r="C150" s="556" t="s">
        <v>431</v>
      </c>
      <c r="D150" s="817">
        <v>2</v>
      </c>
      <c r="E150" s="816">
        <v>60000</v>
      </c>
      <c r="F150" s="820">
        <f>D150*E150</f>
        <v>120000</v>
      </c>
      <c r="G150" s="949" t="s">
        <v>136</v>
      </c>
      <c r="H150" s="959" t="s">
        <v>168</v>
      </c>
      <c r="I150" s="962"/>
    </row>
    <row r="151" spans="1:9">
      <c r="A151" s="990"/>
      <c r="B151" s="819"/>
      <c r="C151" s="556" t="s">
        <v>430</v>
      </c>
      <c r="D151" s="817">
        <v>1</v>
      </c>
      <c r="E151" s="816">
        <v>400000</v>
      </c>
      <c r="F151" s="820">
        <f>D151*E151</f>
        <v>400000</v>
      </c>
      <c r="G151" s="950"/>
      <c r="H151" s="960"/>
      <c r="I151" s="963"/>
    </row>
    <row r="152" spans="1:9">
      <c r="A152" s="991"/>
      <c r="B152" s="819"/>
      <c r="C152" s="818" t="s">
        <v>429</v>
      </c>
      <c r="D152" s="817"/>
      <c r="E152" s="816"/>
      <c r="F152" s="815">
        <f>SUM(F150:F151)</f>
        <v>520000</v>
      </c>
      <c r="G152" s="951"/>
      <c r="H152" s="961"/>
      <c r="I152" s="964"/>
    </row>
    <row r="153" spans="1:9" ht="36">
      <c r="A153" s="558">
        <v>44</v>
      </c>
      <c r="B153" s="557" t="s">
        <v>163</v>
      </c>
      <c r="C153" s="559" t="s">
        <v>162</v>
      </c>
      <c r="D153" s="555">
        <v>6</v>
      </c>
      <c r="E153" s="553">
        <f>'Detailed Budget'!J54</f>
        <v>13333.333333333334</v>
      </c>
      <c r="F153" s="552">
        <f>D153*E153</f>
        <v>80000</v>
      </c>
      <c r="G153" s="799" t="s">
        <v>136</v>
      </c>
      <c r="H153" s="805" t="s">
        <v>168</v>
      </c>
      <c r="I153" s="543"/>
    </row>
    <row r="154" spans="1:9" ht="72" customHeight="1">
      <c r="A154" s="558">
        <v>45</v>
      </c>
      <c r="B154" s="557" t="s">
        <v>161</v>
      </c>
      <c r="C154" s="559" t="s">
        <v>428</v>
      </c>
      <c r="D154" s="555">
        <v>6</v>
      </c>
      <c r="E154" s="553">
        <f>'Detailed Budget'!J55</f>
        <v>31625</v>
      </c>
      <c r="F154" s="552">
        <f>D154*E154</f>
        <v>189750</v>
      </c>
      <c r="G154" s="799" t="s">
        <v>136</v>
      </c>
      <c r="H154" s="805" t="s">
        <v>168</v>
      </c>
      <c r="I154" s="543"/>
    </row>
    <row r="155" spans="1:9" ht="48">
      <c r="A155" s="558">
        <v>46</v>
      </c>
      <c r="B155" s="557" t="s">
        <v>160</v>
      </c>
      <c r="C155" s="559" t="s">
        <v>159</v>
      </c>
      <c r="D155" s="555">
        <v>1</v>
      </c>
      <c r="E155" s="553">
        <f>'Detailed Budget'!J56</f>
        <v>51514.443200000002</v>
      </c>
      <c r="F155" s="552">
        <f>D155*E155</f>
        <v>51514.443200000002</v>
      </c>
      <c r="G155" s="799" t="s">
        <v>136</v>
      </c>
      <c r="H155" s="805" t="s">
        <v>168</v>
      </c>
      <c r="I155" s="543"/>
    </row>
    <row r="156" spans="1:9">
      <c r="A156" s="965"/>
      <c r="B156" s="966"/>
      <c r="C156" s="967"/>
      <c r="D156" s="581" t="s">
        <v>147</v>
      </c>
      <c r="E156" s="952"/>
      <c r="F156" s="953"/>
      <c r="G156" s="953"/>
      <c r="H156" s="953"/>
      <c r="I156" s="953"/>
    </row>
    <row r="157" spans="1:9">
      <c r="A157" s="979">
        <v>47</v>
      </c>
      <c r="B157" s="976" t="s">
        <v>138</v>
      </c>
      <c r="C157" s="559" t="s">
        <v>158</v>
      </c>
      <c r="D157" s="555">
        <v>7</v>
      </c>
      <c r="E157" s="553">
        <f>F157/D157</f>
        <v>1579378.6383213738</v>
      </c>
      <c r="F157" s="579">
        <f>48*F159/100</f>
        <v>11055650.468249617</v>
      </c>
      <c r="G157" s="954" t="s">
        <v>157</v>
      </c>
      <c r="H157" s="946" t="s">
        <v>427</v>
      </c>
      <c r="I157" s="946" t="s">
        <v>156</v>
      </c>
    </row>
    <row r="158" spans="1:9" ht="24">
      <c r="A158" s="980"/>
      <c r="B158" s="977"/>
      <c r="C158" s="559" t="s">
        <v>155</v>
      </c>
      <c r="D158" s="555">
        <v>7</v>
      </c>
      <c r="E158" s="553">
        <f>F158/D158</f>
        <v>1710993.524848155</v>
      </c>
      <c r="F158" s="579">
        <f>52*F159/100</f>
        <v>11976954.673937084</v>
      </c>
      <c r="G158" s="955"/>
      <c r="H158" s="947"/>
      <c r="I158" s="947"/>
    </row>
    <row r="159" spans="1:9">
      <c r="A159" s="981"/>
      <c r="B159" s="978"/>
      <c r="C159" s="578" t="s">
        <v>154</v>
      </c>
      <c r="D159" s="577"/>
      <c r="E159" s="814">
        <f>SUM(E157:E158)</f>
        <v>3290372.1631695288</v>
      </c>
      <c r="F159" s="552">
        <v>23032605.142186701</v>
      </c>
      <c r="G159" s="956"/>
      <c r="H159" s="948"/>
      <c r="I159" s="948"/>
    </row>
    <row r="160" spans="1:9">
      <c r="B160" s="576"/>
      <c r="C160" s="575"/>
      <c r="F160" s="574"/>
    </row>
    <row r="161" spans="1:9">
      <c r="C161" s="569" t="s">
        <v>153</v>
      </c>
      <c r="D161" s="569"/>
      <c r="E161" s="569"/>
      <c r="F161" s="573"/>
      <c r="G161" s="569"/>
      <c r="H161" s="569"/>
      <c r="I161" s="569"/>
    </row>
    <row r="162" spans="1:9">
      <c r="B162" s="572"/>
      <c r="C162" s="570"/>
      <c r="D162" s="570"/>
      <c r="E162" s="570"/>
      <c r="F162" s="571"/>
      <c r="G162" s="570"/>
      <c r="H162" s="570"/>
      <c r="I162" s="570"/>
    </row>
    <row r="163" spans="1:9" ht="24">
      <c r="A163" s="561" t="s">
        <v>150</v>
      </c>
      <c r="B163" s="557" t="s">
        <v>149</v>
      </c>
      <c r="C163" s="561" t="s">
        <v>148</v>
      </c>
      <c r="D163" s="561" t="s">
        <v>147</v>
      </c>
      <c r="E163" s="561" t="s">
        <v>146</v>
      </c>
      <c r="F163" s="561" t="s">
        <v>145</v>
      </c>
      <c r="G163" s="561" t="s">
        <v>144</v>
      </c>
      <c r="H163" s="561" t="s">
        <v>143</v>
      </c>
      <c r="I163" s="560" t="s">
        <v>141</v>
      </c>
    </row>
    <row r="164" spans="1:9">
      <c r="A164" s="558">
        <v>48</v>
      </c>
      <c r="B164" s="557" t="s">
        <v>138</v>
      </c>
      <c r="C164" s="559" t="s">
        <v>426</v>
      </c>
      <c r="D164" s="810">
        <v>6</v>
      </c>
      <c r="E164" s="809">
        <v>1</v>
      </c>
      <c r="F164" s="808">
        <v>19400</v>
      </c>
      <c r="G164" s="807">
        <f t="shared" ref="G164:G169" si="0">D164*F164*E164</f>
        <v>116400</v>
      </c>
      <c r="H164" s="799" t="s">
        <v>136</v>
      </c>
      <c r="I164" s="813" t="s">
        <v>420</v>
      </c>
    </row>
    <row r="165" spans="1:9">
      <c r="A165" s="558">
        <v>49</v>
      </c>
      <c r="B165" s="557" t="s">
        <v>138</v>
      </c>
      <c r="C165" s="556" t="s">
        <v>425</v>
      </c>
      <c r="D165" s="810">
        <v>6</v>
      </c>
      <c r="E165" s="809">
        <v>1</v>
      </c>
      <c r="F165" s="808">
        <f>'Detailed Budget'!J59</f>
        <v>18240</v>
      </c>
      <c r="G165" s="807">
        <f t="shared" si="0"/>
        <v>109440</v>
      </c>
      <c r="H165" s="799" t="s">
        <v>136</v>
      </c>
      <c r="I165" s="813" t="s">
        <v>420</v>
      </c>
    </row>
    <row r="166" spans="1:9">
      <c r="A166" s="558">
        <v>50</v>
      </c>
      <c r="B166" s="557" t="s">
        <v>138</v>
      </c>
      <c r="C166" s="556" t="s">
        <v>424</v>
      </c>
      <c r="D166" s="810">
        <v>6</v>
      </c>
      <c r="E166" s="809">
        <v>1</v>
      </c>
      <c r="F166" s="808">
        <v>15800</v>
      </c>
      <c r="G166" s="807">
        <f t="shared" si="0"/>
        <v>94800</v>
      </c>
      <c r="H166" s="799" t="s">
        <v>136</v>
      </c>
      <c r="I166" s="813" t="s">
        <v>420</v>
      </c>
    </row>
    <row r="167" spans="1:9" ht="24">
      <c r="A167" s="558">
        <v>51</v>
      </c>
      <c r="B167" s="557" t="s">
        <v>138</v>
      </c>
      <c r="C167" s="559" t="s">
        <v>423</v>
      </c>
      <c r="D167" s="810">
        <v>6</v>
      </c>
      <c r="E167" s="809">
        <v>2</v>
      </c>
      <c r="F167" s="808">
        <v>15020</v>
      </c>
      <c r="G167" s="807">
        <f t="shared" si="0"/>
        <v>180240</v>
      </c>
      <c r="H167" s="799" t="s">
        <v>136</v>
      </c>
      <c r="I167" s="813" t="s">
        <v>422</v>
      </c>
    </row>
    <row r="168" spans="1:9">
      <c r="A168" s="558">
        <v>52</v>
      </c>
      <c r="B168" s="557" t="s">
        <v>138</v>
      </c>
      <c r="C168" s="559" t="s">
        <v>421</v>
      </c>
      <c r="D168" s="810">
        <v>6</v>
      </c>
      <c r="E168" s="809">
        <v>1</v>
      </c>
      <c r="F168" s="808">
        <v>15000</v>
      </c>
      <c r="G168" s="807">
        <f t="shared" si="0"/>
        <v>90000</v>
      </c>
      <c r="H168" s="799" t="s">
        <v>136</v>
      </c>
      <c r="I168" s="813" t="s">
        <v>420</v>
      </c>
    </row>
    <row r="169" spans="1:9">
      <c r="A169" s="558">
        <v>53</v>
      </c>
      <c r="B169" s="557" t="s">
        <v>138</v>
      </c>
      <c r="C169" s="559" t="s">
        <v>152</v>
      </c>
      <c r="D169" s="810">
        <v>6</v>
      </c>
      <c r="E169" s="809">
        <v>1</v>
      </c>
      <c r="F169" s="808">
        <v>4600</v>
      </c>
      <c r="G169" s="807">
        <f t="shared" si="0"/>
        <v>27600</v>
      </c>
      <c r="H169" s="799" t="s">
        <v>136</v>
      </c>
      <c r="I169" s="813" t="s">
        <v>420</v>
      </c>
    </row>
    <row r="170" spans="1:9">
      <c r="A170" s="568"/>
      <c r="B170" s="567"/>
      <c r="C170" s="566"/>
      <c r="D170" s="565"/>
      <c r="E170" s="564"/>
      <c r="F170" s="563"/>
      <c r="G170" s="562"/>
    </row>
    <row r="171" spans="1:9">
      <c r="A171" s="568"/>
      <c r="C171" s="569" t="s">
        <v>151</v>
      </c>
      <c r="D171" s="569"/>
      <c r="E171" s="569"/>
      <c r="F171" s="569"/>
      <c r="G171" s="695"/>
      <c r="H171" s="812"/>
      <c r="I171" s="569"/>
    </row>
    <row r="172" spans="1:9">
      <c r="A172" s="568"/>
      <c r="B172" s="567"/>
      <c r="C172" s="566"/>
      <c r="D172" s="565"/>
      <c r="E172" s="564"/>
      <c r="F172" s="563"/>
      <c r="G172" s="562"/>
    </row>
    <row r="173" spans="1:9" ht="24">
      <c r="A173" s="561" t="s">
        <v>150</v>
      </c>
      <c r="B173" s="557" t="s">
        <v>149</v>
      </c>
      <c r="C173" s="561" t="s">
        <v>148</v>
      </c>
      <c r="D173" s="561" t="s">
        <v>147</v>
      </c>
      <c r="E173" s="561" t="s">
        <v>146</v>
      </c>
      <c r="F173" s="561" t="s">
        <v>145</v>
      </c>
      <c r="G173" s="561" t="s">
        <v>144</v>
      </c>
      <c r="H173" s="561" t="s">
        <v>143</v>
      </c>
      <c r="I173" s="560" t="s">
        <v>419</v>
      </c>
    </row>
    <row r="174" spans="1:9" ht="96">
      <c r="A174" s="558">
        <v>54</v>
      </c>
      <c r="B174" s="557" t="s">
        <v>138</v>
      </c>
      <c r="C174" s="559" t="s">
        <v>418</v>
      </c>
      <c r="D174" s="555">
        <v>6</v>
      </c>
      <c r="E174" s="554">
        <v>1</v>
      </c>
      <c r="F174" s="553">
        <f>'Detailed Budget'!J64</f>
        <v>23782.002514578799</v>
      </c>
      <c r="G174" s="552">
        <f>D174*F174*E174</f>
        <v>142692.0150874728</v>
      </c>
      <c r="H174" s="799" t="s">
        <v>136</v>
      </c>
      <c r="I174" s="805" t="s">
        <v>415</v>
      </c>
    </row>
    <row r="175" spans="1:9" ht="144">
      <c r="A175" s="558">
        <v>55</v>
      </c>
      <c r="B175" s="557" t="s">
        <v>138</v>
      </c>
      <c r="C175" s="556" t="s">
        <v>417</v>
      </c>
      <c r="D175" s="555">
        <v>6</v>
      </c>
      <c r="E175" s="554">
        <v>1</v>
      </c>
      <c r="F175" s="553">
        <f>'Detailed Budget'!J65</f>
        <v>113333</v>
      </c>
      <c r="G175" s="552">
        <f>D175*F175*E175</f>
        <v>679998</v>
      </c>
      <c r="H175" s="799" t="s">
        <v>136</v>
      </c>
      <c r="I175" s="805" t="s">
        <v>168</v>
      </c>
    </row>
    <row r="176" spans="1:9" ht="108">
      <c r="A176" s="811">
        <v>56</v>
      </c>
      <c r="B176" s="811" t="s">
        <v>138</v>
      </c>
      <c r="C176" s="559" t="s">
        <v>416</v>
      </c>
      <c r="D176" s="810">
        <v>6</v>
      </c>
      <c r="E176" s="809">
        <v>1</v>
      </c>
      <c r="F176" s="808">
        <f>G176/D176</f>
        <v>83333.333333333328</v>
      </c>
      <c r="G176" s="807">
        <v>500000</v>
      </c>
      <c r="H176" s="799" t="s">
        <v>136</v>
      </c>
      <c r="I176" s="806" t="s">
        <v>168</v>
      </c>
    </row>
    <row r="177" spans="1:9">
      <c r="A177" s="558">
        <v>57</v>
      </c>
      <c r="B177" s="557" t="s">
        <v>138</v>
      </c>
      <c r="C177" s="559" t="s">
        <v>140</v>
      </c>
      <c r="D177" s="555">
        <v>6</v>
      </c>
      <c r="E177" s="554">
        <v>1</v>
      </c>
      <c r="F177" s="553">
        <f>'Detailed Budget'!J67</f>
        <v>5822.1075469858779</v>
      </c>
      <c r="G177" s="552">
        <f>D177*F177*E177</f>
        <v>34932.645281915269</v>
      </c>
      <c r="H177" s="799" t="s">
        <v>136</v>
      </c>
      <c r="I177" s="805" t="s">
        <v>415</v>
      </c>
    </row>
    <row r="178" spans="1:9">
      <c r="A178" s="558">
        <v>58</v>
      </c>
      <c r="B178" s="557" t="s">
        <v>138</v>
      </c>
      <c r="C178" s="559" t="s">
        <v>139</v>
      </c>
      <c r="D178" s="555">
        <v>6</v>
      </c>
      <c r="E178" s="554">
        <v>1</v>
      </c>
      <c r="F178" s="553">
        <f>'Detailed Budget'!J68</f>
        <v>2548.0716979905851</v>
      </c>
      <c r="G178" s="552">
        <f>D178*F178*E178</f>
        <v>15288.430187943512</v>
      </c>
      <c r="H178" s="799" t="s">
        <v>136</v>
      </c>
      <c r="I178" s="805" t="s">
        <v>415</v>
      </c>
    </row>
    <row r="179" spans="1:9">
      <c r="A179" s="558">
        <v>59</v>
      </c>
      <c r="B179" s="557" t="s">
        <v>138</v>
      </c>
      <c r="C179" s="556" t="s">
        <v>137</v>
      </c>
      <c r="D179" s="555">
        <v>6</v>
      </c>
      <c r="E179" s="554">
        <v>1</v>
      </c>
      <c r="F179" s="553">
        <f>'Detailed Budget'!J69</f>
        <v>16666.666666666668</v>
      </c>
      <c r="G179" s="552">
        <f>D179*F179*E179</f>
        <v>100000</v>
      </c>
      <c r="H179" s="799" t="s">
        <v>136</v>
      </c>
      <c r="I179" s="805" t="s">
        <v>414</v>
      </c>
    </row>
    <row r="181" spans="1:9">
      <c r="C181" s="587" t="s">
        <v>413</v>
      </c>
      <c r="D181" s="552">
        <f>G176/7</f>
        <v>71428.571428571435</v>
      </c>
      <c r="E181" s="803">
        <f>D181/'Detailed Budget'!W70</f>
        <v>2.3902815443181413E-2</v>
      </c>
    </row>
    <row r="182" spans="1:9">
      <c r="C182" s="587" t="s">
        <v>412</v>
      </c>
      <c r="D182" s="552">
        <f>D88+D115+D143+D181</f>
        <v>14564504.846564289</v>
      </c>
      <c r="E182" s="803">
        <f>D182/'Detailed Budget'!R72</f>
        <v>0.27040908998486934</v>
      </c>
    </row>
    <row r="183" spans="1:9">
      <c r="D183" s="542"/>
      <c r="E183" s="542"/>
    </row>
    <row r="184" spans="1:9">
      <c r="C184" s="804" t="s">
        <v>411</v>
      </c>
      <c r="D184" s="552">
        <f>F28+F36+F46+F52+F77/2+F105</f>
        <v>9165342.174788557</v>
      </c>
      <c r="E184" s="803">
        <f>D184/'Detailed Budget'!R72</f>
        <v>0.17016657023318993</v>
      </c>
    </row>
    <row r="185" spans="1:9">
      <c r="E185" s="551"/>
      <c r="F185" s="802" t="s">
        <v>135</v>
      </c>
      <c r="G185" s="801">
        <f>SUM(F26:F28,F35:F36,F38:F39,F44:F46,F51:F52,F58,F63,F68,F85:F86,F70,F72:F74,F103,F105,F113,F122,F124:F125,F134:F135,F140:F141,F152:F155,G164:G169,G174:G179,F75,F76,F77)+F149</f>
        <v>53861003.146673955</v>
      </c>
      <c r="I185" s="545">
        <f>G185-'Detailed Budget'!R72</f>
        <v>0</v>
      </c>
    </row>
    <row r="186" spans="1:9">
      <c r="F186" s="802" t="s">
        <v>134</v>
      </c>
      <c r="G186" s="801">
        <f>SUM(F29,F30,F79,F80,F106,F107,F127,F129,F157,F158)</f>
        <v>96986440.846621528</v>
      </c>
      <c r="I186" s="549">
        <f>G186-'Detailed Budget'!R73</f>
        <v>0</v>
      </c>
    </row>
  </sheetData>
  <mergeCells count="33">
    <mergeCell ref="B157:B159"/>
    <mergeCell ref="A156:C156"/>
    <mergeCell ref="A157:A159"/>
    <mergeCell ref="G95:G103"/>
    <mergeCell ref="A128:C128"/>
    <mergeCell ref="A126:C126"/>
    <mergeCell ref="A123:C123"/>
    <mergeCell ref="E156:I156"/>
    <mergeCell ref="E123:I123"/>
    <mergeCell ref="A150:A152"/>
    <mergeCell ref="A78:C78"/>
    <mergeCell ref="B95:B103"/>
    <mergeCell ref="A95:A103"/>
    <mergeCell ref="A104:C104"/>
    <mergeCell ref="E104:I104"/>
    <mergeCell ref="H95:H103"/>
    <mergeCell ref="A37:C37"/>
    <mergeCell ref="C33:G33"/>
    <mergeCell ref="A22:A26"/>
    <mergeCell ref="B22:B26"/>
    <mergeCell ref="A71:C71"/>
    <mergeCell ref="E37:H37"/>
    <mergeCell ref="I22:I26"/>
    <mergeCell ref="H157:H159"/>
    <mergeCell ref="G22:G26"/>
    <mergeCell ref="E126:I126"/>
    <mergeCell ref="E128:I128"/>
    <mergeCell ref="G157:G159"/>
    <mergeCell ref="I157:I159"/>
    <mergeCell ref="D26:E26"/>
    <mergeCell ref="H150:H152"/>
    <mergeCell ref="I150:I152"/>
    <mergeCell ref="G150:G152"/>
  </mergeCells>
  <pageMargins left="0.7" right="0.7" top="0.75" bottom="0.75" header="0.3" footer="0.3"/>
  <pageSetup orientation="portrait" horizontalDpi="4294967295" verticalDpi="4294967295" r:id="rId1"/>
  <drawing r:id="rId2"/>
</worksheet>
</file>

<file path=xl/worksheets/sheet4.xml><?xml version="1.0" encoding="utf-8"?>
<worksheet xmlns="http://schemas.openxmlformats.org/spreadsheetml/2006/main" xmlns:r="http://schemas.openxmlformats.org/officeDocument/2006/relationships">
  <sheetPr>
    <tabColor rgb="FFFF0000"/>
  </sheetPr>
  <dimension ref="A3:C23"/>
  <sheetViews>
    <sheetView workbookViewId="0">
      <selection activeCell="C10" sqref="C10"/>
    </sheetView>
  </sheetViews>
  <sheetFormatPr defaultColWidth="9.140625" defaultRowHeight="15"/>
  <cols>
    <col min="1" max="1" width="35.5703125" style="624" bestFit="1" customWidth="1"/>
    <col min="2" max="2" width="24.42578125" style="690" bestFit="1" customWidth="1"/>
    <col min="3" max="16384" width="9.140625" style="624"/>
  </cols>
  <sheetData>
    <row r="3" spans="1:3">
      <c r="A3" s="693" t="s">
        <v>353</v>
      </c>
      <c r="B3" s="690" t="s">
        <v>352</v>
      </c>
    </row>
    <row r="4" spans="1:3">
      <c r="A4" s="691" t="s">
        <v>306</v>
      </c>
      <c r="B4" s="690">
        <v>110654.83161963207</v>
      </c>
    </row>
    <row r="5" spans="1:3">
      <c r="A5" s="692" t="s">
        <v>196</v>
      </c>
      <c r="B5" s="690">
        <v>25038.896006770425</v>
      </c>
    </row>
    <row r="6" spans="1:3">
      <c r="A6" s="692" t="s">
        <v>160</v>
      </c>
      <c r="B6" s="690">
        <v>47418.22959936862</v>
      </c>
    </row>
    <row r="7" spans="1:3">
      <c r="A7" s="692" t="s">
        <v>161</v>
      </c>
      <c r="B7" s="690">
        <v>4558.0389378752825</v>
      </c>
    </row>
    <row r="8" spans="1:3">
      <c r="A8" s="692" t="s">
        <v>138</v>
      </c>
      <c r="B8" s="690">
        <v>33639.667075617734</v>
      </c>
    </row>
    <row r="9" spans="1:3">
      <c r="A9" s="691" t="s">
        <v>136</v>
      </c>
      <c r="B9" s="690">
        <v>32409.89215669304</v>
      </c>
    </row>
    <row r="10" spans="1:3">
      <c r="A10" s="692" t="s">
        <v>206</v>
      </c>
      <c r="B10" s="690">
        <v>12759.956565041241</v>
      </c>
      <c r="C10" s="690"/>
    </row>
    <row r="11" spans="1:3">
      <c r="A11" s="692" t="s">
        <v>196</v>
      </c>
      <c r="B11" s="690">
        <v>11792.096322918922</v>
      </c>
    </row>
    <row r="12" spans="1:3">
      <c r="A12" s="692" t="s">
        <v>160</v>
      </c>
      <c r="B12" s="690">
        <v>1226.1335990024695</v>
      </c>
    </row>
    <row r="13" spans="1:3">
      <c r="A13" s="692" t="s">
        <v>163</v>
      </c>
      <c r="B13" s="690">
        <v>220</v>
      </c>
    </row>
    <row r="14" spans="1:3">
      <c r="A14" s="692" t="s">
        <v>161</v>
      </c>
      <c r="B14" s="690">
        <v>903.30537734929396</v>
      </c>
    </row>
    <row r="15" spans="1:3">
      <c r="A15" s="692" t="s">
        <v>138</v>
      </c>
      <c r="B15" s="690">
        <v>2091.393090557332</v>
      </c>
    </row>
    <row r="16" spans="1:3">
      <c r="A16" s="692" t="s">
        <v>169</v>
      </c>
      <c r="B16" s="690">
        <v>2947.6072018237805</v>
      </c>
    </row>
    <row r="17" spans="1:2">
      <c r="A17" s="692" t="s">
        <v>173</v>
      </c>
      <c r="B17" s="690">
        <v>469.4</v>
      </c>
    </row>
    <row r="18" spans="1:2">
      <c r="A18" s="691" t="s">
        <v>351</v>
      </c>
      <c r="B18" s="690">
        <v>38296.182374521195</v>
      </c>
    </row>
    <row r="19" spans="1:2">
      <c r="A19" s="692" t="s">
        <v>161</v>
      </c>
      <c r="B19" s="690">
        <v>31776.833761012949</v>
      </c>
    </row>
    <row r="20" spans="1:2">
      <c r="A20" s="692" t="s">
        <v>169</v>
      </c>
      <c r="B20" s="690">
        <v>6475.8503554658346</v>
      </c>
    </row>
    <row r="21" spans="1:2">
      <c r="A21" s="692" t="s">
        <v>173</v>
      </c>
      <c r="B21" s="690">
        <v>43.498258042414669</v>
      </c>
    </row>
    <row r="22" spans="1:2">
      <c r="A22" s="692" t="s">
        <v>351</v>
      </c>
    </row>
    <row r="23" spans="1:2">
      <c r="A23" s="691" t="s">
        <v>350</v>
      </c>
      <c r="B23" s="690">
        <v>181360.90615084631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sheetPr>
    <tabColor rgb="FF92D050"/>
  </sheetPr>
  <dimension ref="B1:N36"/>
  <sheetViews>
    <sheetView showGridLines="0" zoomScale="80" zoomScaleNormal="80" workbookViewId="0">
      <selection activeCell="N4" sqref="N4:N9"/>
    </sheetView>
  </sheetViews>
  <sheetFormatPr defaultRowHeight="12.75"/>
  <cols>
    <col min="1" max="1" width="9.140625" style="16"/>
    <col min="2" max="2" width="6.5703125" style="16" customWidth="1"/>
    <col min="3" max="3" width="15.42578125" style="16" customWidth="1"/>
    <col min="4" max="4" width="19.28515625" style="16" bestFit="1" customWidth="1"/>
    <col min="5" max="5" width="18.85546875" style="16" customWidth="1"/>
    <col min="6" max="6" width="17.140625" style="16" bestFit="1" customWidth="1"/>
    <col min="7" max="7" width="17" style="16" bestFit="1" customWidth="1"/>
    <col min="8" max="8" width="9.5703125" style="16" customWidth="1"/>
    <col min="9" max="9" width="17" style="16" bestFit="1" customWidth="1"/>
    <col min="10" max="10" width="12.28515625" style="16" customWidth="1"/>
    <col min="11" max="11" width="16.42578125" style="16" customWidth="1"/>
    <col min="12" max="12" width="17" style="16" customWidth="1"/>
    <col min="13" max="14" width="17" style="16" bestFit="1" customWidth="1"/>
    <col min="15" max="16384" width="9.140625" style="16"/>
  </cols>
  <sheetData>
    <row r="1" spans="2:14">
      <c r="D1" s="415"/>
    </row>
    <row r="2" spans="2:14" ht="13.5" thickBot="1"/>
    <row r="3" spans="2:14" ht="38.25">
      <c r="B3" s="414"/>
      <c r="C3" s="412" t="s">
        <v>115</v>
      </c>
      <c r="D3" s="413" t="s">
        <v>114</v>
      </c>
      <c r="E3" s="412" t="s">
        <v>113</v>
      </c>
      <c r="F3" s="411" t="s">
        <v>112</v>
      </c>
      <c r="G3" s="409" t="s">
        <v>111</v>
      </c>
      <c r="H3" s="410" t="s">
        <v>110</v>
      </c>
      <c r="I3" s="409" t="s">
        <v>109</v>
      </c>
      <c r="J3" s="408" t="s">
        <v>108</v>
      </c>
      <c r="K3" s="407" t="s">
        <v>107</v>
      </c>
      <c r="L3" s="408" t="s">
        <v>106</v>
      </c>
      <c r="M3" s="407" t="s">
        <v>105</v>
      </c>
      <c r="N3" s="406" t="s">
        <v>104</v>
      </c>
    </row>
    <row r="4" spans="2:14" s="397" customFormat="1">
      <c r="B4" s="402" t="s">
        <v>103</v>
      </c>
      <c r="C4" s="395">
        <f>SUM('E- Investment Type 1'!C13:H13)</f>
        <v>4880000</v>
      </c>
      <c r="D4" s="395">
        <f>SUM('E- Investment Type 1'!C11:V11)</f>
        <v>488919104.63788378</v>
      </c>
      <c r="E4" s="395">
        <f>SUM('E- Investment Type 1'!C10:V10)</f>
        <v>15042600</v>
      </c>
      <c r="F4" s="5">
        <f>'E- Investment Type 1'!B25</f>
        <v>40859197.431646623</v>
      </c>
      <c r="G4" s="395">
        <f>'F- Investment Type 1'!B25</f>
        <v>24250903.28500443</v>
      </c>
      <c r="H4" s="401">
        <f>'E- Investment Type 1'!B26</f>
        <v>0.39644256572800252</v>
      </c>
      <c r="I4" s="405">
        <f>'F- Investment Type 1'!B26</f>
        <v>0.3277770948264771</v>
      </c>
      <c r="J4" s="416">
        <f>'E- Investment Type 1'!B28</f>
        <v>1.2149942533394724</v>
      </c>
      <c r="K4" s="419">
        <f>'F- Investment Type 1'!B28</f>
        <v>1.1695383046348966</v>
      </c>
      <c r="L4" s="400">
        <f>'E- Investment Type 1'!C43</f>
        <v>4.9469168793755838</v>
      </c>
      <c r="M4" s="404">
        <f>'F- Investment Type 1'!C40</f>
        <v>5.4434841552279281</v>
      </c>
      <c r="N4" s="403">
        <f>'F- Investment Type 1'!C49</f>
        <v>8.8973340411828588</v>
      </c>
    </row>
    <row r="5" spans="2:14" s="397" customFormat="1">
      <c r="B5" s="402" t="s">
        <v>102</v>
      </c>
      <c r="C5" s="395">
        <f>SUM('E-Investment Type 2'!C13:H13)</f>
        <v>6201000</v>
      </c>
      <c r="D5" s="395">
        <f>SUM('E-Investment Type 2'!C11:V11)</f>
        <v>727772089.18910754</v>
      </c>
      <c r="E5" s="395">
        <f>SUM('E-Investment Type 2'!C10:V10)</f>
        <v>28610033.166000005</v>
      </c>
      <c r="F5" s="5">
        <f>'E-Investment Type 2'!B31</f>
        <v>69979424.658644155</v>
      </c>
      <c r="G5" s="395">
        <f>'F-Investment Type 2'!B31</f>
        <v>38564850.749714248</v>
      </c>
      <c r="H5" s="401">
        <f>'E-Investment Type 2'!B32</f>
        <v>0.46968080316690003</v>
      </c>
      <c r="I5" s="405">
        <f>'F-Investment Type 2'!B32</f>
        <v>0.35610385083910034</v>
      </c>
      <c r="J5" s="417">
        <f>'E-Investment Type 2'!B34</f>
        <v>1.2490151046550144</v>
      </c>
      <c r="K5" s="404">
        <f>'F-Investment Type 2'!B34</f>
        <v>1.1782998905631012</v>
      </c>
      <c r="L5" s="400">
        <f>'E-Investment Type 2'!C57</f>
        <v>5.5538368853626965</v>
      </c>
      <c r="M5" s="404">
        <f>'F-Investment Type 2'!C57</f>
        <v>5.1940755938263621</v>
      </c>
      <c r="N5" s="403">
        <f>'F-Investment Type 2'!C66</f>
        <v>8.878973529565382</v>
      </c>
    </row>
    <row r="6" spans="2:14" s="397" customFormat="1">
      <c r="B6" s="402" t="s">
        <v>101</v>
      </c>
      <c r="C6" s="395">
        <f>SUM('E-Investment Type 3'!C14:H14)</f>
        <v>872500.25</v>
      </c>
      <c r="D6" s="395">
        <f>SUM('E-Investment Type 3'!C11:V11)</f>
        <v>137472856.81217042</v>
      </c>
      <c r="E6" s="395">
        <f>SUM('E-Investment Type 3'!C10:V10)</f>
        <v>4303171.233</v>
      </c>
      <c r="F6" s="5">
        <f>'E-Investment Type 3'!B32</f>
        <v>11921716.851596558</v>
      </c>
      <c r="G6" s="395">
        <f>'F-Investment Type 3'!B31</f>
        <v>6263985.7236581296</v>
      </c>
      <c r="H6" s="401">
        <f>'E-Investment Type 3'!B33</f>
        <v>0.44296853210646581</v>
      </c>
      <c r="I6" s="405">
        <f>'F-Investment Type 3'!B32</f>
        <v>0.32784946445798041</v>
      </c>
      <c r="J6" s="417">
        <f>'E-Investment Type 3'!B35</f>
        <v>1.2204238514201939</v>
      </c>
      <c r="K6" s="404">
        <f>'F-Investment Type 3'!B34</f>
        <v>1.1527080813870951</v>
      </c>
      <c r="L6" s="400">
        <f>'E-Investment Type 3'!C57</f>
        <v>4.9197491707833159</v>
      </c>
      <c r="M6" s="404">
        <f>'F-Investment Type 3'!C57</f>
        <v>5.897714943284563</v>
      </c>
      <c r="N6" s="403">
        <f>'E-Investment Type 4'!B34</f>
        <v>1.2053201900225656</v>
      </c>
    </row>
    <row r="7" spans="2:14" s="397" customFormat="1">
      <c r="B7" s="402" t="s">
        <v>100</v>
      </c>
      <c r="C7" s="395">
        <f>SUM('E-Investment Type 4'!C13:H13)</f>
        <v>4283615.4793004859</v>
      </c>
      <c r="D7" s="395">
        <f>SUM('E-Investment Type 4'!C11:V11)</f>
        <v>630517226.42079675</v>
      </c>
      <c r="E7" s="395">
        <f>SUM('E-Investment Type 4'!C10:V10)</f>
        <v>1271376</v>
      </c>
      <c r="F7" s="5">
        <f>'E-Investment Type 4'!B31</f>
        <v>50901433.370424427</v>
      </c>
      <c r="G7" s="395">
        <f>'F-Investment Type 4'!B31</f>
        <v>25179756.687156577</v>
      </c>
      <c r="H7" s="401">
        <f>'E-Investment Type 4'!B32</f>
        <v>0.40247420789579541</v>
      </c>
      <c r="I7" s="405">
        <f>'F-Investment Type 4'!B32</f>
        <v>0.29063855005371908</v>
      </c>
      <c r="J7" s="417">
        <f>'E-Investment Type 4'!B34</f>
        <v>1.2053201900225656</v>
      </c>
      <c r="K7" s="404">
        <f>'F-Investment Type 4'!B34</f>
        <v>1.1375882740558196</v>
      </c>
      <c r="L7" s="400">
        <f>'E-Investment Type 4'!C57</f>
        <v>4.9724470444222515</v>
      </c>
      <c r="M7" s="404">
        <f>'F-Investment Type 4'!C57</f>
        <v>5.9632757408449359</v>
      </c>
      <c r="N7" s="403">
        <f>'F-Investment Type 4'!C66</f>
        <v>8.5245615353890258</v>
      </c>
    </row>
    <row r="8" spans="2:14" s="397" customFormat="1">
      <c r="B8" s="402" t="s">
        <v>99</v>
      </c>
      <c r="C8" s="395">
        <f>SUM('E-Investment Type 5'!C14:H14)</f>
        <v>3460551.029541316</v>
      </c>
      <c r="D8" s="395">
        <f>SUM('E-Investment Type 5'!C11:V11)</f>
        <v>27232268.52044072</v>
      </c>
      <c r="E8" s="395">
        <f>SUM('E-Investment Type 5'!C10:V10)</f>
        <v>106962.28449627111</v>
      </c>
      <c r="F8" s="5">
        <f>'E-Investment Type 5'!B32</f>
        <v>1157864.0923309808</v>
      </c>
      <c r="G8" s="395">
        <f>'F-Investment Type 5'!B31</f>
        <v>138250.67242132901</v>
      </c>
      <c r="H8" s="401">
        <f>'E-Investment Type 5'!B33</f>
        <v>0.11070950432107875</v>
      </c>
      <c r="I8" s="405">
        <f>'F-Investment Type 5'!B32</f>
        <v>9.25066015523347E-2</v>
      </c>
      <c r="J8" s="417">
        <f>'E-Investment Type 5'!B35</f>
        <v>1.1922452869313649</v>
      </c>
      <c r="K8" s="404">
        <f>'F-Investment Type 5'!B34</f>
        <v>1.1484196288151383</v>
      </c>
      <c r="L8" s="400">
        <f>'E-Investment Type 5'!C57</f>
        <v>6.9277148157912753</v>
      </c>
      <c r="M8" s="404">
        <f>'F-Investment Type 5'!C56</f>
        <v>11.331974581598185</v>
      </c>
      <c r="N8" s="403">
        <f>'F-Investment Type 5'!C65</f>
        <v>9.5372175775021031</v>
      </c>
    </row>
    <row r="9" spans="2:14" s="397" customFormat="1">
      <c r="B9" s="402" t="s">
        <v>98</v>
      </c>
      <c r="C9" s="395">
        <f>SUM('E-Investment Type 6'!C13:H13)</f>
        <v>5821595.6347710323</v>
      </c>
      <c r="D9" s="395">
        <f>SUM('E-Investment Type 6'!C11:V11)</f>
        <v>1274774599.8189952</v>
      </c>
      <c r="E9" s="395">
        <f>SUM('E-Investment Type 6'!C10:V10)</f>
        <v>10844971.875</v>
      </c>
      <c r="F9" s="5">
        <f>'E-Investment Type 6'!B31</f>
        <v>106522557.49967822</v>
      </c>
      <c r="G9" s="395">
        <f>'F-Investment Type 6'!B31</f>
        <v>56344121.641982108</v>
      </c>
      <c r="H9" s="401">
        <f>'E-Investment Type 6'!B32</f>
        <v>0.43913761788757577</v>
      </c>
      <c r="I9" s="405">
        <f>'F-Investment Type 6'!B32</f>
        <v>0.32712206790482712</v>
      </c>
      <c r="J9" s="417">
        <f>'E-Investment Type 6'!B34</f>
        <v>1.211007265732976</v>
      </c>
      <c r="K9" s="404">
        <f>'F-Investment Type 6'!B34</f>
        <v>1.1477316101735209</v>
      </c>
      <c r="L9" s="400">
        <f>'E-Investment Type 6'!C57</f>
        <v>4.6283759996362974</v>
      </c>
      <c r="M9" s="404">
        <f>'F-Investment Type 6'!C57</f>
        <v>5.3577222989630835</v>
      </c>
      <c r="N9" s="403">
        <f>'F-Investment Type 6'!C66</f>
        <v>7.9353091382568595</v>
      </c>
    </row>
    <row r="10" spans="2:14" s="397" customFormat="1">
      <c r="B10" s="402" t="s">
        <v>97</v>
      </c>
      <c r="C10" s="395">
        <f>SUM('E-Investment Type 7'!C13:H13)</f>
        <v>1377500.1532385186</v>
      </c>
      <c r="D10" s="395">
        <f>SUM('E-Investment Type 7'!C11:V11)</f>
        <v>53587040.501098827</v>
      </c>
      <c r="E10" s="395">
        <f>SUM('E-Investment Type 7'!C10:V10)</f>
        <v>12361980.726935908</v>
      </c>
      <c r="F10" s="5">
        <f>'E-Investment Type 7'!B26</f>
        <v>8577575.9000402652</v>
      </c>
      <c r="G10" s="399" t="s">
        <v>117</v>
      </c>
      <c r="H10" s="401">
        <f>'E-Investment Type 7'!B27</f>
        <v>0.64247098484377418</v>
      </c>
      <c r="I10" s="399" t="s">
        <v>117</v>
      </c>
      <c r="J10" s="417">
        <f>'E-Investment Type 7'!B29</f>
        <v>1.4805662671677793</v>
      </c>
      <c r="K10" s="399" t="s">
        <v>117</v>
      </c>
      <c r="L10" s="400">
        <f>'E-Investment Type 7'!C39</f>
        <v>5.2396182721754538</v>
      </c>
      <c r="M10" s="399" t="s">
        <v>117</v>
      </c>
      <c r="N10" s="398" t="s">
        <v>117</v>
      </c>
    </row>
    <row r="11" spans="2:14" s="397" customFormat="1">
      <c r="B11" s="402" t="s">
        <v>96</v>
      </c>
      <c r="C11" s="395">
        <f>[15]Calculations!$B$10</f>
        <v>80000</v>
      </c>
      <c r="D11" s="395">
        <f>SUM('E-Investment Type 8'!C11:W11)</f>
        <v>3768330.1762858257</v>
      </c>
      <c r="E11" s="395">
        <f>SUM('E-Investment Type 8'!C10:W10)</f>
        <v>483918.36734693858</v>
      </c>
      <c r="F11" s="5">
        <f>'E-Investment Type 8'!B26</f>
        <v>442702.01552875002</v>
      </c>
      <c r="G11" s="399" t="str">
        <f>G10</f>
        <v>Not Calculated</v>
      </c>
      <c r="H11" s="401">
        <f>'E-Investment Type 8'!B27</f>
        <v>0.4628886232837941</v>
      </c>
      <c r="I11" s="399" t="str">
        <f>I10</f>
        <v>Not Calculated</v>
      </c>
      <c r="J11" s="417">
        <f>'E-Investment Type 8'!B29</f>
        <v>1.3375731260700867</v>
      </c>
      <c r="K11" s="399" t="str">
        <f>K10</f>
        <v>Not Calculated</v>
      </c>
      <c r="L11" s="400">
        <f>'E-Investment Type 8'!C40</f>
        <v>4.9536945760618707</v>
      </c>
      <c r="M11" s="399" t="str">
        <f>M10</f>
        <v>Not Calculated</v>
      </c>
      <c r="N11" s="398" t="str">
        <f>N10</f>
        <v>Not Calculated</v>
      </c>
    </row>
    <row r="12" spans="2:14" s="397" customFormat="1">
      <c r="B12" s="402" t="s">
        <v>95</v>
      </c>
      <c r="C12" s="395">
        <f>SUM('Investment Type 9'!E51:J51)</f>
        <v>1080000</v>
      </c>
      <c r="D12" s="395">
        <f>SUM('Investment Type 9'!E90:Y90)</f>
        <v>123782633.74361214</v>
      </c>
      <c r="E12" s="395">
        <f>SUM('Investment Type 9'!E89:Y89)</f>
        <v>123406719.81977214</v>
      </c>
      <c r="F12" s="5">
        <f>'Investment Type 9'!D102</f>
        <v>63466962.612238564</v>
      </c>
      <c r="G12" s="399" t="s">
        <v>117</v>
      </c>
      <c r="H12" s="401" t="s">
        <v>366</v>
      </c>
      <c r="I12" s="399" t="s">
        <v>117</v>
      </c>
      <c r="J12" s="417">
        <f>'Investment Type 9'!D105</f>
        <v>50.234763955603889</v>
      </c>
      <c r="K12" s="399" t="s">
        <v>117</v>
      </c>
      <c r="L12" s="400">
        <f>'Investment Type 9'!C115</f>
        <v>2.1304139654092187</v>
      </c>
      <c r="M12" s="399" t="s">
        <v>117</v>
      </c>
      <c r="N12" s="398" t="s">
        <v>117</v>
      </c>
    </row>
    <row r="13" spans="2:14" ht="13.5" thickBot="1">
      <c r="B13" s="396" t="s">
        <v>365</v>
      </c>
      <c r="C13" s="170">
        <f>SUM('Investment Type 10'!C13:H13)</f>
        <v>1607800.0000000002</v>
      </c>
      <c r="D13" s="170">
        <f>SUM('Investment Type 10'!C11:V11)</f>
        <v>23752840.425680969</v>
      </c>
      <c r="E13" s="170">
        <f>SUM('Investment Type 10'!C10:V10)</f>
        <v>7503066.6666666679</v>
      </c>
      <c r="F13" s="11">
        <f>'Investment Type 10'!B25</f>
        <v>4542076.8616458615</v>
      </c>
      <c r="G13" s="521" t="s">
        <v>117</v>
      </c>
      <c r="H13" s="394">
        <f>'Investment Type 10'!B26</f>
        <v>0.4042328454367905</v>
      </c>
      <c r="I13" s="521" t="s">
        <v>117</v>
      </c>
      <c r="J13" s="418">
        <f>'Investment Type 10'!B28</f>
        <v>1.5798067064288934</v>
      </c>
      <c r="K13" s="521" t="s">
        <v>117</v>
      </c>
      <c r="L13" s="393">
        <f>'Investment Type 10'!C43</f>
        <v>6.3203157490139183</v>
      </c>
      <c r="M13" s="521" t="s">
        <v>117</v>
      </c>
      <c r="N13" s="522" t="s">
        <v>117</v>
      </c>
    </row>
    <row r="14" spans="2:14">
      <c r="H14" s="392"/>
      <c r="J14" s="391"/>
      <c r="L14" s="391"/>
    </row>
    <row r="15" spans="2:14">
      <c r="H15" s="392"/>
      <c r="J15" s="391"/>
      <c r="L15" s="391"/>
    </row>
    <row r="16" spans="2:14">
      <c r="H16" s="392"/>
      <c r="J16" s="391"/>
      <c r="L16" s="391"/>
    </row>
    <row r="17" spans="8:12">
      <c r="H17" s="392"/>
      <c r="J17" s="391"/>
      <c r="L17" s="391"/>
    </row>
    <row r="18" spans="8:12">
      <c r="H18" s="392"/>
      <c r="J18" s="391"/>
      <c r="L18" s="391"/>
    </row>
    <row r="19" spans="8:12">
      <c r="H19" s="392"/>
      <c r="J19" s="391"/>
      <c r="L19" s="391"/>
    </row>
    <row r="20" spans="8:12">
      <c r="H20" s="392"/>
      <c r="J20" s="391"/>
      <c r="L20" s="391"/>
    </row>
    <row r="21" spans="8:12">
      <c r="H21" s="392"/>
      <c r="J21" s="391"/>
      <c r="L21" s="391"/>
    </row>
    <row r="22" spans="8:12">
      <c r="H22" s="392"/>
      <c r="J22" s="391"/>
      <c r="L22" s="391"/>
    </row>
    <row r="23" spans="8:12">
      <c r="H23" s="392"/>
      <c r="J23" s="391"/>
      <c r="L23" s="391"/>
    </row>
    <row r="24" spans="8:12">
      <c r="H24" s="392"/>
      <c r="J24" s="391"/>
      <c r="L24" s="391"/>
    </row>
    <row r="25" spans="8:12">
      <c r="H25" s="392"/>
      <c r="J25" s="391"/>
      <c r="L25" s="391"/>
    </row>
    <row r="26" spans="8:12">
      <c r="H26" s="392"/>
      <c r="J26" s="391"/>
      <c r="L26" s="391"/>
    </row>
    <row r="27" spans="8:12">
      <c r="H27" s="392"/>
      <c r="J27" s="391"/>
      <c r="L27" s="391"/>
    </row>
    <row r="28" spans="8:12">
      <c r="H28" s="392"/>
      <c r="J28" s="391"/>
      <c r="L28" s="391"/>
    </row>
    <row r="29" spans="8:12">
      <c r="H29" s="392"/>
      <c r="J29" s="391"/>
      <c r="L29" s="391"/>
    </row>
    <row r="30" spans="8:12">
      <c r="H30" s="392"/>
      <c r="J30" s="391"/>
      <c r="L30" s="391"/>
    </row>
    <row r="31" spans="8:12">
      <c r="H31" s="392"/>
      <c r="J31" s="391"/>
      <c r="L31" s="391"/>
    </row>
    <row r="32" spans="8:12">
      <c r="H32" s="392"/>
      <c r="J32" s="391"/>
      <c r="L32" s="391"/>
    </row>
    <row r="33" spans="8:12">
      <c r="H33" s="392"/>
      <c r="J33" s="391"/>
      <c r="L33" s="391"/>
    </row>
    <row r="34" spans="8:12">
      <c r="H34" s="392"/>
      <c r="J34" s="391"/>
      <c r="L34" s="391"/>
    </row>
    <row r="35" spans="8:12">
      <c r="H35" s="392"/>
      <c r="J35" s="391"/>
      <c r="L35" s="391"/>
    </row>
    <row r="36" spans="8:12">
      <c r="J36" s="391"/>
    </row>
  </sheetData>
  <pageMargins left="0.7" right="0.7" top="0.75" bottom="0.75" header="0.3" footer="0.3"/>
  <pageSetup orientation="portrait" horizontalDpi="4294967293" verticalDpi="4294967293" r:id="rId1"/>
</worksheet>
</file>

<file path=xl/worksheets/sheet6.xml><?xml version="1.0" encoding="utf-8"?>
<worksheet xmlns="http://schemas.openxmlformats.org/spreadsheetml/2006/main" xmlns:r="http://schemas.openxmlformats.org/officeDocument/2006/relationships">
  <sheetPr>
    <tabColor rgb="FFFFC000"/>
  </sheetPr>
  <dimension ref="A2:V34"/>
  <sheetViews>
    <sheetView showGridLines="0" tabSelected="1" topLeftCell="A4" zoomScale="80" zoomScaleNormal="80" workbookViewId="0">
      <selection activeCell="I29" sqref="I29"/>
    </sheetView>
  </sheetViews>
  <sheetFormatPr defaultRowHeight="15"/>
  <cols>
    <col min="1" max="1" width="56" customWidth="1"/>
    <col min="3" max="5" width="13.7109375" customWidth="1"/>
    <col min="6" max="22" width="12.7109375" customWidth="1"/>
  </cols>
  <sheetData>
    <row r="2" spans="1:22" ht="15.75" thickBot="1"/>
    <row r="3" spans="1:22" s="786" customFormat="1">
      <c r="A3" s="15" t="s">
        <v>410</v>
      </c>
      <c r="B3" s="785"/>
      <c r="C3" s="787">
        <v>2023</v>
      </c>
      <c r="D3" s="787">
        <v>2024</v>
      </c>
      <c r="E3" s="787">
        <v>2025</v>
      </c>
      <c r="F3" s="787">
        <v>2026</v>
      </c>
      <c r="G3" s="787">
        <v>2027</v>
      </c>
      <c r="H3" s="788" t="s">
        <v>409</v>
      </c>
      <c r="I3" s="787">
        <v>2029</v>
      </c>
      <c r="J3" s="787">
        <v>2030</v>
      </c>
      <c r="K3" s="787">
        <v>2031</v>
      </c>
      <c r="L3" s="787">
        <v>2032</v>
      </c>
      <c r="M3" s="787">
        <v>2033</v>
      </c>
      <c r="N3" s="787">
        <v>2034</v>
      </c>
      <c r="O3" s="787">
        <v>2035</v>
      </c>
      <c r="P3" s="787">
        <v>2036</v>
      </c>
      <c r="Q3" s="787">
        <v>2037</v>
      </c>
      <c r="R3" s="787">
        <v>2038</v>
      </c>
      <c r="S3" s="787">
        <v>2039</v>
      </c>
      <c r="T3" s="787">
        <v>2040</v>
      </c>
      <c r="U3" s="787">
        <v>2041</v>
      </c>
      <c r="V3" s="788">
        <v>2042</v>
      </c>
    </row>
    <row r="4" spans="1:22">
      <c r="A4" s="783" t="s">
        <v>406</v>
      </c>
      <c r="B4" s="4"/>
      <c r="C4" s="4"/>
      <c r="D4" s="4"/>
      <c r="E4" s="4"/>
      <c r="F4" s="4"/>
      <c r="G4" s="4"/>
      <c r="H4" s="9"/>
      <c r="I4" s="4"/>
      <c r="J4" s="4"/>
      <c r="K4" s="4"/>
      <c r="L4" s="4"/>
      <c r="M4" s="4"/>
      <c r="N4" s="4"/>
      <c r="O4" s="4"/>
      <c r="P4" s="4"/>
      <c r="Q4" s="4"/>
      <c r="R4" s="4"/>
      <c r="S4" s="4"/>
      <c r="T4" s="4"/>
      <c r="U4" s="4"/>
      <c r="V4" s="9"/>
    </row>
    <row r="5" spans="1:22">
      <c r="A5" s="8" t="s">
        <v>125</v>
      </c>
      <c r="B5" s="4" t="s">
        <v>1</v>
      </c>
      <c r="C5" s="5">
        <f>'E- Investment Type 1'!C20/1000</f>
        <v>-3278.8261894893435</v>
      </c>
      <c r="D5" s="5">
        <f>'E- Investment Type 1'!D20/1000</f>
        <v>-3082.0974984678924</v>
      </c>
      <c r="E5" s="5">
        <f>'E- Investment Type 1'!E20/1000</f>
        <v>-1727.1388281214181</v>
      </c>
      <c r="F5" s="5">
        <f>'E- Investment Type 1'!F20/1000</f>
        <v>3621.8432675823087</v>
      </c>
      <c r="G5" s="5">
        <f>'E- Investment Type 1'!G20/1000</f>
        <v>4771.3040844778861</v>
      </c>
      <c r="H5" s="10">
        <f>'E- Investment Type 1'!H20/1000</f>
        <v>5747.3040844778861</v>
      </c>
      <c r="I5" s="5">
        <f>'E- Investment Type 1'!I20/1000</f>
        <v>5747.3040844778861</v>
      </c>
      <c r="J5" s="5">
        <f>'E- Investment Type 1'!J20/1000</f>
        <v>5747.3040844778861</v>
      </c>
      <c r="K5" s="5">
        <f>'E- Investment Type 1'!K20/1000</f>
        <v>5747.3040844778861</v>
      </c>
      <c r="L5" s="5">
        <f>'E- Investment Type 1'!L20/1000</f>
        <v>5747.3040844778861</v>
      </c>
      <c r="M5" s="5">
        <f>'E- Investment Type 1'!M20/1000</f>
        <v>5747.3040844778861</v>
      </c>
      <c r="N5" s="5">
        <f>'E- Investment Type 1'!N20/1000</f>
        <v>5747.3040844778861</v>
      </c>
      <c r="O5" s="5">
        <f>'E- Investment Type 1'!O20/1000</f>
        <v>5747.3040844778861</v>
      </c>
      <c r="P5" s="5">
        <f>'E- Investment Type 1'!P20/1000</f>
        <v>5747.3040844778861</v>
      </c>
      <c r="Q5" s="5">
        <f>'E- Investment Type 1'!Q20/1000</f>
        <v>5747.3040844778861</v>
      </c>
      <c r="R5" s="5">
        <f>'E- Investment Type 1'!R20/1000</f>
        <v>5747.3040844778861</v>
      </c>
      <c r="S5" s="5">
        <f>'E- Investment Type 1'!S20/1000</f>
        <v>5747.3040844778861</v>
      </c>
      <c r="T5" s="5">
        <f>'E- Investment Type 1'!T20/1000</f>
        <v>5747.3040844778861</v>
      </c>
      <c r="U5" s="5">
        <f>'E- Investment Type 1'!U20/1000</f>
        <v>5747.3040844778861</v>
      </c>
      <c r="V5" s="10">
        <f>'E- Investment Type 1'!V20/1000</f>
        <v>5747.3040844778861</v>
      </c>
    </row>
    <row r="6" spans="1:22">
      <c r="A6" s="8" t="s">
        <v>126</v>
      </c>
      <c r="B6" s="4" t="s">
        <v>1</v>
      </c>
      <c r="C6" s="5">
        <f>'E-Investment Type 2'!C20/1000</f>
        <v>-4455.0151051518642</v>
      </c>
      <c r="D6" s="5">
        <f>'E-Investment Type 2'!D20/1000</f>
        <v>-3981.9623538123947</v>
      </c>
      <c r="E6" s="5">
        <f>'E-Investment Type 2'!E20/1000</f>
        <v>-1800.0456985507608</v>
      </c>
      <c r="F6" s="5">
        <f>'E-Investment Type 2'!F20/1000</f>
        <v>6274.6924039592814</v>
      </c>
      <c r="G6" s="5">
        <f>'E-Investment Type 2'!G20/1000</f>
        <v>8153.4155049491001</v>
      </c>
      <c r="H6" s="10">
        <f>'E-Investment Type 2'!H20/1000</f>
        <v>9393.6155049491008</v>
      </c>
      <c r="I6" s="5">
        <f>'E-Investment Type 2'!I20/1000</f>
        <v>9393.6155049491008</v>
      </c>
      <c r="J6" s="5">
        <f>'E-Investment Type 2'!J20/1000</f>
        <v>9393.6155049491008</v>
      </c>
      <c r="K6" s="5">
        <f>'E-Investment Type 2'!K20/1000</f>
        <v>9393.6155049491008</v>
      </c>
      <c r="L6" s="5">
        <f>'E-Investment Type 2'!L20/1000</f>
        <v>9393.6155049491008</v>
      </c>
      <c r="M6" s="5">
        <f>'E-Investment Type 2'!M20/1000</f>
        <v>9393.6155049491008</v>
      </c>
      <c r="N6" s="5">
        <f>'E-Investment Type 2'!N20/1000</f>
        <v>9393.6155049491008</v>
      </c>
      <c r="O6" s="5">
        <f>'E-Investment Type 2'!O20/1000</f>
        <v>9393.6155049491008</v>
      </c>
      <c r="P6" s="5">
        <f>'E-Investment Type 2'!P20/1000</f>
        <v>9393.6155049491008</v>
      </c>
      <c r="Q6" s="5">
        <f>'E-Investment Type 2'!Q20/1000</f>
        <v>9393.6155049491008</v>
      </c>
      <c r="R6" s="5">
        <f>'E-Investment Type 2'!R20/1000</f>
        <v>9393.6155049491008</v>
      </c>
      <c r="S6" s="5">
        <f>'E-Investment Type 2'!S20/1000</f>
        <v>9393.6155049491008</v>
      </c>
      <c r="T6" s="5">
        <f>'E-Investment Type 2'!T20/1000</f>
        <v>9393.6155049491008</v>
      </c>
      <c r="U6" s="5">
        <f>'E-Investment Type 2'!U20/1000</f>
        <v>9393.6155049491008</v>
      </c>
      <c r="V6" s="10">
        <f>'E-Investment Type 2'!V20/1000</f>
        <v>9393.6155049491008</v>
      </c>
    </row>
    <row r="7" spans="1:22">
      <c r="A7" s="8" t="s">
        <v>127</v>
      </c>
      <c r="B7" s="4" t="s">
        <v>1</v>
      </c>
      <c r="C7" s="5">
        <f>'E-Investment Type 3'!C21/1000</f>
        <v>-853.46305719083421</v>
      </c>
      <c r="D7" s="5">
        <f>'E-Investment Type 3'!D21/1000</f>
        <v>-803.32000223075067</v>
      </c>
      <c r="E7" s="5">
        <f>'E-Investment Type 3'!E21/1000</f>
        <v>-270.60262453389868</v>
      </c>
      <c r="F7" s="5">
        <f>'E-Investment Type 3'!F21/1000</f>
        <v>1116.2479311625725</v>
      </c>
      <c r="G7" s="5">
        <f>'E-Investment Type 3'!G21/1000</f>
        <v>1438.934926453217</v>
      </c>
      <c r="H7" s="10">
        <f>'E-Investment Type 3'!H21/1000</f>
        <v>1613.4349764532176</v>
      </c>
      <c r="I7" s="5">
        <f>'E-Investment Type 3'!I21/1000</f>
        <v>1613.4349764532176</v>
      </c>
      <c r="J7" s="5">
        <f>'E-Investment Type 3'!J21/1000</f>
        <v>1613.4349764532176</v>
      </c>
      <c r="K7" s="5">
        <f>'E-Investment Type 3'!K21/1000</f>
        <v>1613.4349764532176</v>
      </c>
      <c r="L7" s="5">
        <f>'E-Investment Type 3'!L21/1000</f>
        <v>1613.4349764532176</v>
      </c>
      <c r="M7" s="5">
        <f>'E-Investment Type 3'!M21/1000</f>
        <v>1613.4349764532176</v>
      </c>
      <c r="N7" s="5">
        <f>'E-Investment Type 3'!N21/1000</f>
        <v>1613.4349764532176</v>
      </c>
      <c r="O7" s="5">
        <f>'E-Investment Type 3'!O21/1000</f>
        <v>1613.4349764532176</v>
      </c>
      <c r="P7" s="5">
        <f>'E-Investment Type 3'!P21/1000</f>
        <v>1613.4349764532176</v>
      </c>
      <c r="Q7" s="5">
        <f>'E-Investment Type 3'!Q21/1000</f>
        <v>1613.4349764532176</v>
      </c>
      <c r="R7" s="5">
        <f>'E-Investment Type 3'!R21/1000</f>
        <v>1613.4349764532176</v>
      </c>
      <c r="S7" s="5">
        <f>'E-Investment Type 3'!S21/1000</f>
        <v>1613.4349764532176</v>
      </c>
      <c r="T7" s="5">
        <f>'E-Investment Type 3'!T21/1000</f>
        <v>1613.4349764532176</v>
      </c>
      <c r="U7" s="5">
        <f>'E-Investment Type 3'!U21/1000</f>
        <v>1613.4349764532176</v>
      </c>
      <c r="V7" s="10">
        <f>'E-Investment Type 3'!V21/1000</f>
        <v>1613.4349764532176</v>
      </c>
    </row>
    <row r="8" spans="1:22">
      <c r="A8" s="8" t="s">
        <v>128</v>
      </c>
      <c r="B8" s="4" t="s">
        <v>1</v>
      </c>
      <c r="C8" s="5">
        <f>'E-Investment Type 4'!C20/1000</f>
        <v>-4022.0306221567757</v>
      </c>
      <c r="D8" s="5">
        <f>'E-Investment Type 4'!D20/1000</f>
        <v>-3868.2570776112525</v>
      </c>
      <c r="E8" s="5">
        <f>'E-Investment Type 4'!E20/1000</f>
        <v>-2176.5060195357801</v>
      </c>
      <c r="F8" s="5">
        <f>'E-Investment Type 4'!F20/1000</f>
        <v>4818.784341063254</v>
      </c>
      <c r="G8" s="5">
        <f>'E-Investment Type 4'!G20/1000</f>
        <v>6237.6612002940956</v>
      </c>
      <c r="H8" s="10">
        <f>'E-Investment Type 4'!H20/1000</f>
        <v>7094.3842961541895</v>
      </c>
      <c r="I8" s="5">
        <f>'E-Investment Type 4'!I20/1000</f>
        <v>7094.3842961541895</v>
      </c>
      <c r="J8" s="5">
        <f>'E-Investment Type 4'!J20/1000</f>
        <v>7094.3842961541895</v>
      </c>
      <c r="K8" s="5">
        <f>'E-Investment Type 4'!K20/1000</f>
        <v>7094.3842961541895</v>
      </c>
      <c r="L8" s="5">
        <f>'E-Investment Type 4'!L20/1000</f>
        <v>7094.3842961541895</v>
      </c>
      <c r="M8" s="5">
        <f>'E-Investment Type 4'!M20/1000</f>
        <v>7094.3842961541895</v>
      </c>
      <c r="N8" s="5">
        <f>'E-Investment Type 4'!N20/1000</f>
        <v>7094.3842961541895</v>
      </c>
      <c r="O8" s="5">
        <f>'E-Investment Type 4'!O20/1000</f>
        <v>7094.3842961541895</v>
      </c>
      <c r="P8" s="5">
        <f>'E-Investment Type 4'!P20/1000</f>
        <v>7094.3842961541895</v>
      </c>
      <c r="Q8" s="5">
        <f>'E-Investment Type 4'!Q20/1000</f>
        <v>7094.3842961541895</v>
      </c>
      <c r="R8" s="5">
        <f>'E-Investment Type 4'!R20/1000</f>
        <v>7094.3842961541895</v>
      </c>
      <c r="S8" s="5">
        <f>'E-Investment Type 4'!S20/1000</f>
        <v>7094.3842961541895</v>
      </c>
      <c r="T8" s="5">
        <f>'E-Investment Type 4'!T20/1000</f>
        <v>7094.3842961541895</v>
      </c>
      <c r="U8" s="5">
        <f>'E-Investment Type 4'!U20/1000</f>
        <v>7094.3842961541895</v>
      </c>
      <c r="V8" s="10">
        <f>'E-Investment Type 4'!V20/1000</f>
        <v>7094.3842961541895</v>
      </c>
    </row>
    <row r="9" spans="1:22">
      <c r="A9" s="8" t="s">
        <v>129</v>
      </c>
      <c r="B9" s="4" t="s">
        <v>1</v>
      </c>
      <c r="C9" s="5">
        <f>'E-Investment Type 5'!C21/1000</f>
        <v>-114.00429265064867</v>
      </c>
      <c r="D9" s="5">
        <f>'E-Investment Type 5'!D21/1000</f>
        <v>-957.91645198827655</v>
      </c>
      <c r="E9" s="5">
        <f>'E-Investment Type 5'!E21/1000</f>
        <v>-1385.953951970494</v>
      </c>
      <c r="F9" s="5">
        <f>'E-Investment Type 5'!F21/1000</f>
        <v>-496.65552074182591</v>
      </c>
      <c r="G9" s="5">
        <f>'E-Investment Type 5'!G21/1000</f>
        <v>459.10225533258824</v>
      </c>
      <c r="H9" s="10">
        <f>'E-Investment Type 5'!H21/1000</f>
        <v>459.10225533258824</v>
      </c>
      <c r="I9" s="5">
        <f>'E-Investment Type 5'!I21/1000</f>
        <v>459.10225533258824</v>
      </c>
      <c r="J9" s="5">
        <f>'E-Investment Type 5'!J21/1000</f>
        <v>459.10225533258824</v>
      </c>
      <c r="K9" s="5">
        <f>'E-Investment Type 5'!K21/1000</f>
        <v>459.10225533258824</v>
      </c>
      <c r="L9" s="5">
        <f>'E-Investment Type 5'!L21/1000</f>
        <v>459.10225533258824</v>
      </c>
      <c r="M9" s="5">
        <f>'E-Investment Type 5'!M21/1000</f>
        <v>459.10225533258824</v>
      </c>
      <c r="N9" s="5">
        <f>'E-Investment Type 5'!N21/1000</f>
        <v>459.10225533258824</v>
      </c>
      <c r="O9" s="5">
        <f>'E-Investment Type 5'!O21/1000</f>
        <v>459.10225533258824</v>
      </c>
      <c r="P9" s="5">
        <f>'E-Investment Type 5'!P21/1000</f>
        <v>459.10225533258824</v>
      </c>
      <c r="Q9" s="5">
        <f>'E-Investment Type 5'!Q21/1000</f>
        <v>459.10225533258824</v>
      </c>
      <c r="R9" s="5">
        <f>'E-Investment Type 5'!R21/1000</f>
        <v>459.10225533258824</v>
      </c>
      <c r="S9" s="5">
        <f>'E-Investment Type 5'!S21/1000</f>
        <v>459.10225533258824</v>
      </c>
      <c r="T9" s="5">
        <f>'E-Investment Type 5'!T21/1000</f>
        <v>459.10225533258824</v>
      </c>
      <c r="U9" s="5">
        <f>'E-Investment Type 5'!U21/1000</f>
        <v>459.10225533258824</v>
      </c>
      <c r="V9" s="10">
        <f>'E-Investment Type 5'!V21/1000</f>
        <v>459.10225533258824</v>
      </c>
    </row>
    <row r="10" spans="1:22">
      <c r="A10" s="8" t="s">
        <v>130</v>
      </c>
      <c r="B10" s="4" t="s">
        <v>1</v>
      </c>
      <c r="C10" s="5">
        <f>'E-Investment Type 6'!C20/1000</f>
        <v>-7482.327845515505</v>
      </c>
      <c r="D10" s="5">
        <f>'E-Investment Type 6'!D20/1000</f>
        <v>-7133.4910057308043</v>
      </c>
      <c r="E10" s="5">
        <f>'E-Investment Type 6'!E20/1000</f>
        <v>-3695.407975189034</v>
      </c>
      <c r="F10" s="5">
        <f>'E-Investment Type 6'!F20/1000</f>
        <v>10395.586716100684</v>
      </c>
      <c r="G10" s="5">
        <f>'E-Investment Type 6'!G20/1000</f>
        <v>13285.5631768644</v>
      </c>
      <c r="H10" s="10">
        <f>'E-Investment Type 6'!H20/1000</f>
        <v>14449.882303818613</v>
      </c>
      <c r="I10" s="5">
        <f>'E-Investment Type 6'!I20/1000</f>
        <v>14449.882303818613</v>
      </c>
      <c r="J10" s="5">
        <f>'E-Investment Type 6'!J20/1000</f>
        <v>14449.882303818613</v>
      </c>
      <c r="K10" s="5">
        <f>'E-Investment Type 6'!K20/1000</f>
        <v>14449.882303818613</v>
      </c>
      <c r="L10" s="5">
        <f>'E-Investment Type 6'!L20/1000</f>
        <v>14449.882303818613</v>
      </c>
      <c r="M10" s="5">
        <f>'E-Investment Type 6'!M20/1000</f>
        <v>14449.882303818613</v>
      </c>
      <c r="N10" s="5">
        <f>'E-Investment Type 6'!N20/1000</f>
        <v>14449.882303818613</v>
      </c>
      <c r="O10" s="5">
        <f>'E-Investment Type 6'!O20/1000</f>
        <v>14449.882303818613</v>
      </c>
      <c r="P10" s="5">
        <f>'E-Investment Type 6'!P20/1000</f>
        <v>14449.882303818613</v>
      </c>
      <c r="Q10" s="5">
        <f>'E-Investment Type 6'!Q20/1000</f>
        <v>14449.882303818613</v>
      </c>
      <c r="R10" s="5">
        <f>'E-Investment Type 6'!R20/1000</f>
        <v>14449.882303818613</v>
      </c>
      <c r="S10" s="5">
        <f>'E-Investment Type 6'!S20/1000</f>
        <v>14449.882303818613</v>
      </c>
      <c r="T10" s="5">
        <f>'E-Investment Type 6'!T20/1000</f>
        <v>14449.882303818613</v>
      </c>
      <c r="U10" s="5">
        <f>'E-Investment Type 6'!U20/1000</f>
        <v>14449.882303818613</v>
      </c>
      <c r="V10" s="10">
        <f>'E-Investment Type 6'!V20/1000</f>
        <v>14449.882303818613</v>
      </c>
    </row>
    <row r="11" spans="1:22">
      <c r="A11" s="8" t="s">
        <v>131</v>
      </c>
      <c r="B11" s="4" t="s">
        <v>1</v>
      </c>
      <c r="C11" s="5">
        <f>'E-Investment Type 7'!C21/1000</f>
        <v>-365.524405140917</v>
      </c>
      <c r="D11" s="5">
        <f>'E-Investment Type 7'!D21/1000</f>
        <v>-229.84094783177321</v>
      </c>
      <c r="E11" s="5">
        <f>'E-Investment Type 7'!E21/1000</f>
        <v>55.232028674456757</v>
      </c>
      <c r="F11" s="5">
        <f>'E-Investment Type 7'!F21/1000</f>
        <v>604.71721855335011</v>
      </c>
      <c r="G11" s="5">
        <f>'E-Investment Type 7'!G21/1000</f>
        <v>824.77153085361419</v>
      </c>
      <c r="H11" s="10">
        <f>'E-Investment Type 7'!H21/1000</f>
        <v>1100.2715615013176</v>
      </c>
      <c r="I11" s="5">
        <f>'E-Investment Type 7'!I21/1000</f>
        <v>1100.2715615013176</v>
      </c>
      <c r="J11" s="5">
        <f>'E-Investment Type 7'!J21/1000</f>
        <v>1100.2715615013176</v>
      </c>
      <c r="K11" s="5">
        <f>'E-Investment Type 7'!K21/1000</f>
        <v>1100.2715615013176</v>
      </c>
      <c r="L11" s="5">
        <f>'E-Investment Type 7'!L21/1000</f>
        <v>1100.2715615013176</v>
      </c>
      <c r="M11" s="5">
        <f>'E-Investment Type 7'!M21/1000</f>
        <v>1100.2715615013176</v>
      </c>
      <c r="N11" s="5">
        <f>'E-Investment Type 7'!N21/1000</f>
        <v>1100.2715615013176</v>
      </c>
      <c r="O11" s="5">
        <f>'E-Investment Type 7'!O21/1000</f>
        <v>1100.2715615013176</v>
      </c>
      <c r="P11" s="5">
        <f>'E-Investment Type 7'!P21/1000</f>
        <v>1100.2715615013176</v>
      </c>
      <c r="Q11" s="5">
        <f>'E-Investment Type 7'!Q21/1000</f>
        <v>1100.2715615013176</v>
      </c>
      <c r="R11" s="5">
        <f>'E-Investment Type 7'!R21/1000</f>
        <v>1100.2715615013176</v>
      </c>
      <c r="S11" s="5">
        <f>'E-Investment Type 7'!S21/1000</f>
        <v>1100.2715615013176</v>
      </c>
      <c r="T11" s="5">
        <f>'E-Investment Type 7'!T21/1000</f>
        <v>1100.2715615013176</v>
      </c>
      <c r="U11" s="5">
        <f>'E-Investment Type 7'!U21/1000</f>
        <v>1100.2715615013176</v>
      </c>
      <c r="V11" s="10">
        <f>'E-Investment Type 7'!V21/1000</f>
        <v>1100.2715615013176</v>
      </c>
    </row>
    <row r="12" spans="1:22">
      <c r="A12" s="8" t="s">
        <v>132</v>
      </c>
      <c r="B12" s="4" t="str">
        <f>B11</f>
        <v>USD</v>
      </c>
      <c r="C12" s="5">
        <f>'E-Investment Type 8'!C21/1000</f>
        <v>-26.784239700398103</v>
      </c>
      <c r="D12" s="5">
        <f>'E-Investment Type 8'!D21/1000</f>
        <v>-21.177955594168058</v>
      </c>
      <c r="E12" s="5">
        <f>'E-Investment Type 8'!E21/1000</f>
        <v>-7.9767208038394743</v>
      </c>
      <c r="F12" s="5">
        <f>'E-Investment Type 8'!F21/1000</f>
        <v>31.414831529815331</v>
      </c>
      <c r="G12" s="5">
        <f>'E-Investment Type 8'!G21/1000</f>
        <v>43.268539412269163</v>
      </c>
      <c r="H12" s="10">
        <f>'E-Investment Type 8'!H21/1000</f>
        <v>43.268539412269163</v>
      </c>
      <c r="I12" s="5">
        <f>'E-Investment Type 8'!I21/1000</f>
        <v>59.268539412269163</v>
      </c>
      <c r="J12" s="5">
        <f>'E-Investment Type 8'!J21/1000</f>
        <v>59.268539412269163</v>
      </c>
      <c r="K12" s="5">
        <f>'E-Investment Type 8'!K21/1000</f>
        <v>59.268539412269163</v>
      </c>
      <c r="L12" s="5">
        <f>'E-Investment Type 8'!L21/1000</f>
        <v>59.268539412269163</v>
      </c>
      <c r="M12" s="5">
        <f>'E-Investment Type 8'!M21/1000</f>
        <v>59.268539412269163</v>
      </c>
      <c r="N12" s="5">
        <f>'E-Investment Type 8'!N21/1000</f>
        <v>59.268539412269163</v>
      </c>
      <c r="O12" s="5">
        <f>'E-Investment Type 8'!O21/1000</f>
        <v>59.268539412269163</v>
      </c>
      <c r="P12" s="5">
        <f>'E-Investment Type 8'!P21/1000</f>
        <v>59.268539412269163</v>
      </c>
      <c r="Q12" s="5">
        <f>'E-Investment Type 8'!Q21/1000</f>
        <v>59.268539412269163</v>
      </c>
      <c r="R12" s="5">
        <f>'E-Investment Type 8'!R21/1000</f>
        <v>59.268539412269163</v>
      </c>
      <c r="S12" s="5">
        <f>'E-Investment Type 8'!S21/1000</f>
        <v>59.268539412269163</v>
      </c>
      <c r="T12" s="5">
        <f>'E-Investment Type 8'!T21/1000</f>
        <v>59.268539412269163</v>
      </c>
      <c r="U12" s="5">
        <f>'E-Investment Type 8'!U21/1000</f>
        <v>59.268539412269163</v>
      </c>
      <c r="V12" s="10">
        <f>'E-Investment Type 8'!V21/1000</f>
        <v>59.268539412269163</v>
      </c>
    </row>
    <row r="13" spans="1:22">
      <c r="A13" s="8" t="s">
        <v>133</v>
      </c>
      <c r="B13" s="4" t="s">
        <v>1</v>
      </c>
      <c r="C13" s="5">
        <f>'Investment Type 9'!E95/1000</f>
        <v>1131.8582089211386</v>
      </c>
      <c r="D13" s="5">
        <f>'Investment Type 9'!F95/1000</f>
        <v>2400.6099243357839</v>
      </c>
      <c r="E13" s="5">
        <f>'Investment Type 9'!G95/1000</f>
        <v>3686.4733280621181</v>
      </c>
      <c r="F13" s="5">
        <f>'Investment Type 9'!H95/1000</f>
        <v>4972.3367317884513</v>
      </c>
      <c r="G13" s="5">
        <f>'Investment Type 9'!I95/1000</f>
        <v>6258.2001355147859</v>
      </c>
      <c r="H13" s="10">
        <f>'Investment Type 9'!J95/1000</f>
        <v>6429.3170186316684</v>
      </c>
      <c r="I13" s="5">
        <f>'Investment Type 9'!K95/1000</f>
        <v>6429.3170186316684</v>
      </c>
      <c r="J13" s="5">
        <f>'Investment Type 9'!L95/1000</f>
        <v>6429.3170186316684</v>
      </c>
      <c r="K13" s="5">
        <f>'Investment Type 9'!M95/1000</f>
        <v>6429.3170186316684</v>
      </c>
      <c r="L13" s="5">
        <f>'Investment Type 9'!N95/1000</f>
        <v>6429.3170186316684</v>
      </c>
      <c r="M13" s="5">
        <f>'Investment Type 9'!O95/1000</f>
        <v>6429.3170186316684</v>
      </c>
      <c r="N13" s="5">
        <f>'Investment Type 9'!P95/1000</f>
        <v>6429.3170186316684</v>
      </c>
      <c r="O13" s="5">
        <f>'Investment Type 9'!Q95/1000</f>
        <v>6429.3170186316684</v>
      </c>
      <c r="P13" s="5">
        <f>'Investment Type 9'!R95/1000</f>
        <v>6429.3170186316684</v>
      </c>
      <c r="Q13" s="5">
        <f>'Investment Type 9'!S95/1000</f>
        <v>6429.3170186316684</v>
      </c>
      <c r="R13" s="5">
        <f>'Investment Type 9'!T95/1000</f>
        <v>6429.3170186316684</v>
      </c>
      <c r="S13" s="5">
        <f>'Investment Type 9'!U95/1000</f>
        <v>6429.3170186316684</v>
      </c>
      <c r="T13" s="5">
        <f>'Investment Type 9'!V95/1000</f>
        <v>6429.3170186316684</v>
      </c>
      <c r="U13" s="5">
        <f>'Investment Type 9'!W95/1000</f>
        <v>6429.3170186316684</v>
      </c>
      <c r="V13" s="10">
        <f>'Investment Type 9'!X95/1000</f>
        <v>6429.3170186316684</v>
      </c>
    </row>
    <row r="14" spans="1:22">
      <c r="A14" s="8" t="s">
        <v>364</v>
      </c>
      <c r="B14" s="4" t="s">
        <v>1</v>
      </c>
      <c r="C14" s="5">
        <f>'Investment Type 10'!C20/1000</f>
        <v>-267.37069707420494</v>
      </c>
      <c r="D14" s="5">
        <f>'Investment Type 10'!D20/1000</f>
        <v>-193.57282699202997</v>
      </c>
      <c r="E14" s="5">
        <f>'Investment Type 10'!E20/1000</f>
        <v>-85.855063271261756</v>
      </c>
      <c r="F14" s="5">
        <f>'Investment Type 10'!F20/1000</f>
        <v>138.83156863328418</v>
      </c>
      <c r="G14" s="5">
        <f>'Investment Type 10'!G20/1000</f>
        <v>240.53112745827181</v>
      </c>
      <c r="H14" s="10">
        <f>'Investment Type 10'!H20/1000</f>
        <v>342.23068628325967</v>
      </c>
      <c r="I14" s="5">
        <f>'Investment Type 10'!I20/1000</f>
        <v>610.19735294992643</v>
      </c>
      <c r="J14" s="5">
        <f>'Investment Type 10'!J20/1000</f>
        <v>610.19735294992643</v>
      </c>
      <c r="K14" s="5">
        <f>'Investment Type 10'!K20/1000</f>
        <v>610.19735294992643</v>
      </c>
      <c r="L14" s="5">
        <f>'Investment Type 10'!L20/1000</f>
        <v>610.19735294992643</v>
      </c>
      <c r="M14" s="5">
        <f>'Investment Type 10'!M20/1000</f>
        <v>610.19735294992643</v>
      </c>
      <c r="N14" s="5">
        <f>'Investment Type 10'!N20/1000</f>
        <v>610.19735294992643</v>
      </c>
      <c r="O14" s="5">
        <f>'Investment Type 10'!O20/1000</f>
        <v>610.19735294992643</v>
      </c>
      <c r="P14" s="5">
        <f>'Investment Type 10'!P20/1000</f>
        <v>610.19735294992643</v>
      </c>
      <c r="Q14" s="5">
        <f>'Investment Type 10'!Q20/1000</f>
        <v>610.19735294992643</v>
      </c>
      <c r="R14" s="5">
        <f>'Investment Type 10'!R20/1000</f>
        <v>610.19735294992643</v>
      </c>
      <c r="S14" s="5">
        <f>'Investment Type 10'!S20/1000</f>
        <v>610.19735294992643</v>
      </c>
      <c r="T14" s="5">
        <f>'Investment Type 10'!T20/1000</f>
        <v>610.19735294992643</v>
      </c>
      <c r="U14" s="5">
        <f>'Investment Type 10'!U20/1000</f>
        <v>610.19735294992643</v>
      </c>
      <c r="V14" s="10">
        <f>'Investment Type 10'!V20/1000</f>
        <v>610.19735294992643</v>
      </c>
    </row>
    <row r="15" spans="1:22" s="697" customFormat="1">
      <c r="A15" s="715" t="s">
        <v>19</v>
      </c>
      <c r="B15" s="704"/>
      <c r="C15" s="705">
        <f>SUM(C5:C14)</f>
        <v>-19733.488245149358</v>
      </c>
      <c r="D15" s="705">
        <f t="shared" ref="D15:V15" si="0">SUM(D5:D14)</f>
        <v>-17871.026195923558</v>
      </c>
      <c r="E15" s="705">
        <f t="shared" si="0"/>
        <v>-7407.7815252399105</v>
      </c>
      <c r="F15" s="705">
        <f t="shared" si="0"/>
        <v>31477.799489631172</v>
      </c>
      <c r="G15" s="705">
        <f t="shared" si="0"/>
        <v>41712.75248161023</v>
      </c>
      <c r="H15" s="716">
        <f t="shared" si="0"/>
        <v>46672.811227014114</v>
      </c>
      <c r="I15" s="705">
        <f t="shared" si="0"/>
        <v>46956.777893680774</v>
      </c>
      <c r="J15" s="705">
        <f t="shared" si="0"/>
        <v>46956.777893680774</v>
      </c>
      <c r="K15" s="705">
        <f t="shared" si="0"/>
        <v>46956.777893680774</v>
      </c>
      <c r="L15" s="705">
        <f t="shared" si="0"/>
        <v>46956.777893680774</v>
      </c>
      <c r="M15" s="705">
        <f t="shared" si="0"/>
        <v>46956.777893680774</v>
      </c>
      <c r="N15" s="705">
        <f t="shared" si="0"/>
        <v>46956.777893680774</v>
      </c>
      <c r="O15" s="705">
        <f t="shared" si="0"/>
        <v>46956.777893680774</v>
      </c>
      <c r="P15" s="705">
        <f t="shared" si="0"/>
        <v>46956.777893680774</v>
      </c>
      <c r="Q15" s="705">
        <f t="shared" si="0"/>
        <v>46956.777893680774</v>
      </c>
      <c r="R15" s="705">
        <f t="shared" si="0"/>
        <v>46956.777893680774</v>
      </c>
      <c r="S15" s="705">
        <f t="shared" si="0"/>
        <v>46956.777893680774</v>
      </c>
      <c r="T15" s="705">
        <f t="shared" si="0"/>
        <v>46956.777893680774</v>
      </c>
      <c r="U15" s="705">
        <f t="shared" si="0"/>
        <v>46956.777893680774</v>
      </c>
      <c r="V15" s="716">
        <f t="shared" si="0"/>
        <v>46956.777893680774</v>
      </c>
    </row>
    <row r="16" spans="1:22">
      <c r="A16" s="8"/>
      <c r="B16" s="4"/>
      <c r="C16" s="5"/>
      <c r="D16" s="5"/>
      <c r="E16" s="5"/>
      <c r="F16" s="5"/>
      <c r="G16" s="5"/>
      <c r="H16" s="10"/>
      <c r="I16" s="5"/>
      <c r="J16" s="5"/>
      <c r="K16" s="5"/>
      <c r="L16" s="5"/>
      <c r="M16" s="5"/>
      <c r="N16" s="5"/>
      <c r="O16" s="5"/>
      <c r="P16" s="5"/>
      <c r="Q16" s="5"/>
      <c r="R16" s="5"/>
      <c r="S16" s="5"/>
      <c r="T16" s="5"/>
      <c r="U16" s="5"/>
      <c r="V16" s="10"/>
    </row>
    <row r="17" spans="1:22">
      <c r="A17" s="694" t="s">
        <v>355</v>
      </c>
      <c r="B17" s="4"/>
      <c r="C17" s="5"/>
      <c r="D17" s="5"/>
      <c r="E17" s="5"/>
      <c r="F17" s="5"/>
      <c r="G17" s="5"/>
      <c r="H17" s="10"/>
      <c r="I17" s="5"/>
      <c r="J17" s="5"/>
      <c r="K17" s="5"/>
      <c r="L17" s="5"/>
      <c r="M17" s="5"/>
      <c r="N17" s="5"/>
      <c r="O17" s="5"/>
      <c r="P17" s="5"/>
      <c r="Q17" s="5"/>
      <c r="R17" s="5"/>
      <c r="S17" s="5"/>
      <c r="T17" s="5"/>
      <c r="U17" s="5"/>
      <c r="V17" s="10"/>
    </row>
    <row r="18" spans="1:22">
      <c r="A18" s="8" t="s">
        <v>136</v>
      </c>
      <c r="B18" s="4" t="str">
        <f>B14</f>
        <v>USD</v>
      </c>
      <c r="C18" s="5">
        <f>'Detailed Budget'!L72/1000</f>
        <v>3961.3787214368845</v>
      </c>
      <c r="D18" s="5">
        <f>'Detailed Budget'!M72/1000</f>
        <v>12284.769236257947</v>
      </c>
      <c r="E18" s="5">
        <f>'Detailed Budget'!N72/1000</f>
        <v>12665.154483890321</v>
      </c>
      <c r="F18" s="5">
        <f>'Detailed Budget'!O72/1000</f>
        <v>10744.458839720583</v>
      </c>
      <c r="G18" s="5">
        <f>'Detailed Budget'!P72/1000</f>
        <v>8316.7223158272027</v>
      </c>
      <c r="H18" s="10">
        <f>'Detailed Budget'!Q72/1000</f>
        <v>5888.5195495410189</v>
      </c>
      <c r="I18" s="5"/>
      <c r="J18" s="5"/>
      <c r="K18" s="5"/>
      <c r="L18" s="5"/>
      <c r="M18" s="5"/>
      <c r="N18" s="5"/>
      <c r="O18" s="5"/>
      <c r="P18" s="5"/>
      <c r="Q18" s="5"/>
      <c r="R18" s="5"/>
      <c r="S18" s="5"/>
      <c r="T18" s="5"/>
      <c r="U18" s="5"/>
      <c r="V18" s="10"/>
    </row>
    <row r="19" spans="1:22">
      <c r="A19" s="8" t="s">
        <v>157</v>
      </c>
      <c r="B19" s="4" t="str">
        <f>B18</f>
        <v>USD</v>
      </c>
      <c r="C19" s="5">
        <f>'Detailed Budget'!L73/1000</f>
        <v>16333.419497231398</v>
      </c>
      <c r="D19" s="5">
        <f>'Detailed Budget'!M73/1000</f>
        <v>17131.358304808029</v>
      </c>
      <c r="E19" s="5">
        <f>'Detailed Budget'!N73/1000</f>
        <v>16849.993131143776</v>
      </c>
      <c r="F19" s="5">
        <f>'Detailed Budget'!O73/1000</f>
        <v>16270.159254168106</v>
      </c>
      <c r="G19" s="5">
        <f>'Detailed Budget'!P73/1000</f>
        <v>16813.948180948973</v>
      </c>
      <c r="H19" s="10">
        <f>'Detailed Budget'!Q73/1000</f>
        <v>13587.56247832127</v>
      </c>
      <c r="I19" s="5"/>
      <c r="J19" s="5"/>
      <c r="K19" s="5"/>
      <c r="L19" s="5"/>
      <c r="M19" s="5"/>
      <c r="N19" s="5"/>
      <c r="O19" s="5"/>
      <c r="P19" s="5"/>
      <c r="Q19" s="5"/>
      <c r="R19" s="5"/>
      <c r="S19" s="5"/>
      <c r="T19" s="5"/>
      <c r="U19" s="5"/>
      <c r="V19" s="10"/>
    </row>
    <row r="20" spans="1:22" s="697" customFormat="1">
      <c r="A20" s="703" t="s">
        <v>354</v>
      </c>
      <c r="B20" s="704" t="str">
        <f>B19</f>
        <v>USD</v>
      </c>
      <c r="C20" s="705">
        <f t="shared" ref="C20:H20" si="1">C19+C18</f>
        <v>20294.798218668282</v>
      </c>
      <c r="D20" s="705">
        <f t="shared" si="1"/>
        <v>29416.127541065976</v>
      </c>
      <c r="E20" s="705">
        <f t="shared" si="1"/>
        <v>29515.147615034097</v>
      </c>
      <c r="F20" s="705">
        <f t="shared" si="1"/>
        <v>27014.61809388869</v>
      </c>
      <c r="G20" s="705">
        <f t="shared" si="1"/>
        <v>25130.670496776176</v>
      </c>
      <c r="H20" s="716">
        <f t="shared" si="1"/>
        <v>19476.082027862289</v>
      </c>
      <c r="I20" s="14"/>
      <c r="J20" s="14"/>
      <c r="K20" s="14"/>
      <c r="L20" s="14"/>
      <c r="M20" s="14"/>
      <c r="N20" s="14"/>
      <c r="O20" s="14"/>
      <c r="P20" s="14"/>
      <c r="Q20" s="14"/>
      <c r="R20" s="14"/>
      <c r="S20" s="14"/>
      <c r="T20" s="14"/>
      <c r="U20" s="14"/>
      <c r="V20" s="698"/>
    </row>
    <row r="21" spans="1:22">
      <c r="A21" s="694" t="s">
        <v>356</v>
      </c>
      <c r="B21" s="4" t="str">
        <f>B20</f>
        <v>USD</v>
      </c>
      <c r="C21" s="5">
        <f>'Detailed Budget'!L116/1000</f>
        <v>3611.9712002654542</v>
      </c>
      <c r="D21" s="5">
        <f>'Detailed Budget'!M116/1000</f>
        <v>8455.2753669133635</v>
      </c>
      <c r="E21" s="5">
        <f>'Detailed Budget'!N116/1000</f>
        <v>8634.8848559869803</v>
      </c>
      <c r="F21" s="5">
        <f>'Detailed Budget'!O116/1000</f>
        <v>7359.8067147096936</v>
      </c>
      <c r="G21" s="5">
        <f>'Detailed Budget'!P116/1000</f>
        <v>5771.779317685161</v>
      </c>
      <c r="H21" s="10">
        <f>'Detailed Budget'!Q116/1000</f>
        <v>1590.94677063939</v>
      </c>
      <c r="I21" s="5"/>
      <c r="J21" s="5"/>
      <c r="K21" s="5"/>
      <c r="L21" s="5"/>
      <c r="M21" s="5"/>
      <c r="N21" s="5"/>
      <c r="O21" s="5"/>
      <c r="P21" s="5"/>
      <c r="Q21" s="5"/>
      <c r="R21" s="5"/>
      <c r="S21" s="5"/>
      <c r="T21" s="5"/>
      <c r="U21" s="5"/>
      <c r="V21" s="10"/>
    </row>
    <row r="22" spans="1:22">
      <c r="A22" s="8" t="s">
        <v>362</v>
      </c>
      <c r="B22" s="4" t="str">
        <f>B21</f>
        <v>USD</v>
      </c>
      <c r="C22" s="5">
        <f t="shared" ref="C22:H22" si="2">C20-C21</f>
        <v>16682.82701840283</v>
      </c>
      <c r="D22" s="5">
        <f t="shared" si="2"/>
        <v>20960.852174152613</v>
      </c>
      <c r="E22" s="5">
        <f t="shared" si="2"/>
        <v>20880.262759047117</v>
      </c>
      <c r="F22" s="5">
        <f t="shared" si="2"/>
        <v>19654.811379178995</v>
      </c>
      <c r="G22" s="5">
        <f t="shared" si="2"/>
        <v>19358.891179091013</v>
      </c>
      <c r="H22" s="10">
        <f t="shared" si="2"/>
        <v>17885.135257222897</v>
      </c>
      <c r="I22" s="5">
        <f>H22*5%</f>
        <v>894.25676286114492</v>
      </c>
      <c r="J22" s="5">
        <f>I22</f>
        <v>894.25676286114492</v>
      </c>
      <c r="K22" s="5">
        <f t="shared" ref="K22:U22" si="3">J22</f>
        <v>894.25676286114492</v>
      </c>
      <c r="L22" s="5">
        <f t="shared" si="3"/>
        <v>894.25676286114492</v>
      </c>
      <c r="M22" s="5">
        <f t="shared" si="3"/>
        <v>894.25676286114492</v>
      </c>
      <c r="N22" s="5">
        <f t="shared" si="3"/>
        <v>894.25676286114492</v>
      </c>
      <c r="O22" s="5">
        <f t="shared" si="3"/>
        <v>894.25676286114492</v>
      </c>
      <c r="P22" s="5">
        <f t="shared" si="3"/>
        <v>894.25676286114492</v>
      </c>
      <c r="Q22" s="5">
        <f t="shared" si="3"/>
        <v>894.25676286114492</v>
      </c>
      <c r="R22" s="5">
        <f t="shared" si="3"/>
        <v>894.25676286114492</v>
      </c>
      <c r="S22" s="5">
        <f t="shared" si="3"/>
        <v>894.25676286114492</v>
      </c>
      <c r="T22" s="5">
        <f t="shared" si="3"/>
        <v>894.25676286114492</v>
      </c>
      <c r="U22" s="5">
        <f t="shared" si="3"/>
        <v>894.25676286114492</v>
      </c>
      <c r="V22" s="10">
        <f>U22</f>
        <v>894.25676286114492</v>
      </c>
    </row>
    <row r="23" spans="1:22">
      <c r="A23" s="8"/>
      <c r="B23" s="4"/>
      <c r="C23" s="5"/>
      <c r="D23" s="5"/>
      <c r="E23" s="5"/>
      <c r="F23" s="5"/>
      <c r="G23" s="5"/>
      <c r="H23" s="10"/>
      <c r="I23" s="5"/>
      <c r="J23" s="5"/>
      <c r="K23" s="5"/>
      <c r="L23" s="5"/>
      <c r="M23" s="5"/>
      <c r="N23" s="5"/>
      <c r="O23" s="5"/>
      <c r="P23" s="5"/>
      <c r="Q23" s="5"/>
      <c r="R23" s="5"/>
      <c r="S23" s="5"/>
      <c r="T23" s="5"/>
      <c r="U23" s="5"/>
      <c r="V23" s="10"/>
    </row>
    <row r="24" spans="1:22" s="697" customFormat="1" ht="15.75" thickBot="1">
      <c r="A24" s="699" t="s">
        <v>0</v>
      </c>
      <c r="B24" s="700" t="str">
        <f>B22</f>
        <v>USD</v>
      </c>
      <c r="C24" s="701">
        <f>C15-C22</f>
        <v>-36416.315263552184</v>
      </c>
      <c r="D24" s="701">
        <f t="shared" ref="D24:V24" si="4">D15-D22</f>
        <v>-38831.878370076171</v>
      </c>
      <c r="E24" s="701">
        <f t="shared" si="4"/>
        <v>-28288.044284287025</v>
      </c>
      <c r="F24" s="701">
        <f t="shared" si="4"/>
        <v>11822.988110452177</v>
      </c>
      <c r="G24" s="701">
        <f t="shared" si="4"/>
        <v>22353.861302519217</v>
      </c>
      <c r="H24" s="702">
        <f t="shared" si="4"/>
        <v>28787.675969791217</v>
      </c>
      <c r="I24" s="701">
        <f t="shared" si="4"/>
        <v>46062.52113081963</v>
      </c>
      <c r="J24" s="701">
        <f t="shared" si="4"/>
        <v>46062.52113081963</v>
      </c>
      <c r="K24" s="701">
        <f t="shared" si="4"/>
        <v>46062.52113081963</v>
      </c>
      <c r="L24" s="701">
        <f t="shared" si="4"/>
        <v>46062.52113081963</v>
      </c>
      <c r="M24" s="701">
        <f t="shared" si="4"/>
        <v>46062.52113081963</v>
      </c>
      <c r="N24" s="701">
        <f t="shared" si="4"/>
        <v>46062.52113081963</v>
      </c>
      <c r="O24" s="701">
        <f t="shared" si="4"/>
        <v>46062.52113081963</v>
      </c>
      <c r="P24" s="701">
        <f t="shared" si="4"/>
        <v>46062.52113081963</v>
      </c>
      <c r="Q24" s="701">
        <f t="shared" si="4"/>
        <v>46062.52113081963</v>
      </c>
      <c r="R24" s="701">
        <f t="shared" si="4"/>
        <v>46062.52113081963</v>
      </c>
      <c r="S24" s="701">
        <f t="shared" si="4"/>
        <v>46062.52113081963</v>
      </c>
      <c r="T24" s="701">
        <f t="shared" si="4"/>
        <v>46062.52113081963</v>
      </c>
      <c r="U24" s="701">
        <f t="shared" si="4"/>
        <v>46062.52113081963</v>
      </c>
      <c r="V24" s="702">
        <f t="shared" si="4"/>
        <v>46062.52113081963</v>
      </c>
    </row>
    <row r="25" spans="1:22" ht="15.75" thickBot="1">
      <c r="A25" s="8"/>
      <c r="B25" s="4"/>
      <c r="C25" s="5"/>
      <c r="D25" s="5"/>
      <c r="E25" s="5"/>
      <c r="F25" s="5"/>
      <c r="G25" s="5"/>
      <c r="H25" s="10"/>
      <c r="I25" s="5"/>
      <c r="J25" s="5"/>
      <c r="K25" s="5"/>
      <c r="L25" s="5"/>
      <c r="M25" s="5"/>
      <c r="N25" s="5"/>
      <c r="O25" s="5"/>
      <c r="P25" s="5"/>
      <c r="Q25" s="5"/>
      <c r="R25" s="5"/>
      <c r="S25" s="5"/>
      <c r="T25" s="5"/>
      <c r="U25" s="5"/>
      <c r="V25" s="5"/>
    </row>
    <row r="26" spans="1:22">
      <c r="A26" s="523" t="s">
        <v>10</v>
      </c>
      <c r="B26" s="524"/>
      <c r="C26" s="535">
        <v>0.06</v>
      </c>
      <c r="D26" s="4"/>
      <c r="E26" s="4"/>
      <c r="F26" s="4"/>
      <c r="G26" s="4"/>
      <c r="H26" s="9"/>
    </row>
    <row r="27" spans="1:22">
      <c r="A27" s="526" t="s">
        <v>7</v>
      </c>
      <c r="B27" s="527"/>
      <c r="C27" s="528">
        <f>NPV(C26,C24:V24)</f>
        <v>255525.89258282704</v>
      </c>
      <c r="D27" s="4"/>
      <c r="E27" s="4"/>
      <c r="F27" s="4"/>
      <c r="G27" s="4"/>
      <c r="H27" s="9"/>
    </row>
    <row r="28" spans="1:22">
      <c r="A28" s="526" t="s">
        <v>8</v>
      </c>
      <c r="B28" s="527"/>
      <c r="C28" s="536">
        <f>IRR(C24:V24)</f>
        <v>0.24320452344169657</v>
      </c>
      <c r="D28" s="4"/>
      <c r="E28" s="4"/>
      <c r="F28" s="4"/>
      <c r="G28" s="4"/>
      <c r="H28" s="9"/>
    </row>
    <row r="29" spans="1:22" ht="15" customHeight="1" thickBot="1">
      <c r="A29" s="533" t="s">
        <v>9</v>
      </c>
      <c r="B29" s="537"/>
      <c r="C29" s="534">
        <f>MIRR(C24:V24,C26,0)</f>
        <v>0.10953870385034548</v>
      </c>
      <c r="D29" s="789"/>
      <c r="E29" s="789"/>
      <c r="F29" s="789"/>
      <c r="G29" s="789"/>
      <c r="H29" s="790"/>
    </row>
    <row r="33" spans="3:9">
      <c r="C33" s="1"/>
      <c r="D33" s="1"/>
      <c r="E33" s="1"/>
      <c r="F33" s="1"/>
      <c r="G33" s="1"/>
      <c r="H33" s="1"/>
    </row>
    <row r="34" spans="3:9">
      <c r="C34" s="800"/>
      <c r="D34" s="800"/>
      <c r="E34" s="800"/>
      <c r="F34" s="800"/>
      <c r="G34" s="800"/>
      <c r="H34" s="800"/>
      <c r="I34" s="800"/>
    </row>
  </sheetData>
  <pageMargins left="0.7" right="0.7" top="0.75" bottom="0.75" header="0.3" footer="0.3"/>
  <pageSetup orientation="portrait" horizontalDpi="4294967293" verticalDpi="4294967293" r:id="rId1"/>
</worksheet>
</file>

<file path=xl/worksheets/sheet7.xml><?xml version="1.0" encoding="utf-8"?>
<worksheet xmlns="http://schemas.openxmlformats.org/spreadsheetml/2006/main" xmlns:r="http://schemas.openxmlformats.org/officeDocument/2006/relationships">
  <sheetPr>
    <tabColor rgb="FFFFC000"/>
  </sheetPr>
  <dimension ref="A1:V21"/>
  <sheetViews>
    <sheetView showGridLines="0" zoomScale="80" zoomScaleNormal="80" workbookViewId="0">
      <selection activeCell="C12" sqref="C12"/>
    </sheetView>
  </sheetViews>
  <sheetFormatPr defaultRowHeight="15"/>
  <cols>
    <col min="1" max="1" width="43.28515625" customWidth="1"/>
    <col min="3" max="3" width="16.85546875" customWidth="1"/>
    <col min="4" max="5" width="15.5703125" bestFit="1" customWidth="1"/>
    <col min="6" max="22" width="14.5703125" bestFit="1" customWidth="1"/>
  </cols>
  <sheetData>
    <row r="1" spans="1:22" ht="15.75" thickBot="1"/>
    <row r="2" spans="1:22">
      <c r="A2" s="15" t="s">
        <v>119</v>
      </c>
      <c r="B2" s="6"/>
      <c r="C2" s="6"/>
      <c r="D2" s="6"/>
      <c r="E2" s="6"/>
      <c r="F2" s="6"/>
      <c r="G2" s="6"/>
      <c r="H2" s="6"/>
      <c r="I2" s="6"/>
      <c r="J2" s="6"/>
      <c r="K2" s="6"/>
      <c r="L2" s="6"/>
      <c r="M2" s="6"/>
      <c r="N2" s="6"/>
      <c r="O2" s="6"/>
      <c r="P2" s="6"/>
      <c r="Q2" s="6"/>
      <c r="R2" s="6"/>
      <c r="S2" s="6"/>
      <c r="T2" s="6"/>
      <c r="U2" s="6"/>
      <c r="V2" s="7"/>
    </row>
    <row r="3" spans="1:22">
      <c r="A3" s="8"/>
      <c r="B3" s="4"/>
      <c r="C3" s="4"/>
      <c r="D3" s="4"/>
      <c r="E3" s="4"/>
      <c r="F3" s="4"/>
      <c r="G3" s="4"/>
      <c r="H3" s="4"/>
      <c r="I3" s="4"/>
      <c r="J3" s="4"/>
      <c r="K3" s="4"/>
      <c r="L3" s="4"/>
      <c r="M3" s="4"/>
      <c r="N3" s="4"/>
      <c r="O3" s="4"/>
      <c r="P3" s="4"/>
      <c r="Q3" s="4"/>
      <c r="R3" s="4"/>
      <c r="S3" s="4"/>
      <c r="T3" s="4"/>
      <c r="U3" s="4"/>
      <c r="V3" s="9"/>
    </row>
    <row r="4" spans="1:22">
      <c r="A4" s="8" t="s">
        <v>118</v>
      </c>
      <c r="B4" s="4" t="s">
        <v>1</v>
      </c>
      <c r="C4" s="5">
        <f>'F- Investment Type 1'!C20</f>
        <v>-3478967.25</v>
      </c>
      <c r="D4" s="5">
        <v>-952864.3447916673</v>
      </c>
      <c r="E4" s="5">
        <v>-604712.84010416735</v>
      </c>
      <c r="F4" s="5">
        <v>819157.35208333377</v>
      </c>
      <c r="G4" s="5">
        <v>1090938.356770833</v>
      </c>
      <c r="H4" s="5">
        <v>1362719.3614583351</v>
      </c>
      <c r="I4" s="5">
        <v>1630686.0281250011</v>
      </c>
      <c r="J4" s="5">
        <v>1630686.0281250011</v>
      </c>
      <c r="K4" s="5">
        <v>1630686.0281250011</v>
      </c>
      <c r="L4" s="5">
        <v>1630686.0281250011</v>
      </c>
      <c r="M4" s="5">
        <v>1630686.0281250011</v>
      </c>
      <c r="N4" s="5">
        <v>1630686.0281250011</v>
      </c>
      <c r="O4" s="5">
        <v>1630686.0281250011</v>
      </c>
      <c r="P4" s="5">
        <v>1630686.0281250011</v>
      </c>
      <c r="Q4" s="5">
        <v>1630686.0281250011</v>
      </c>
      <c r="R4" s="5">
        <v>1630686.0281250011</v>
      </c>
      <c r="S4" s="5">
        <v>1630686.0281250011</v>
      </c>
      <c r="T4" s="5">
        <v>1630686.0281250011</v>
      </c>
      <c r="U4" s="5">
        <v>1630686.0281250011</v>
      </c>
      <c r="V4" s="10">
        <v>1630686.0281250011</v>
      </c>
    </row>
    <row r="5" spans="1:22" ht="15.75" customHeight="1">
      <c r="A5" s="8" t="s">
        <v>120</v>
      </c>
      <c r="B5" s="4" t="s">
        <v>1</v>
      </c>
      <c r="C5" s="5">
        <f>'F-Investment Type 2'!C20</f>
        <v>-4881613.2425999995</v>
      </c>
      <c r="D5" s="5">
        <v>-461634.91861631535</v>
      </c>
      <c r="E5" s="5">
        <v>-357567.12640932132</v>
      </c>
      <c r="F5" s="5">
        <v>59437.011252218392</v>
      </c>
      <c r="G5" s="5">
        <v>141287.93073193962</v>
      </c>
      <c r="H5" s="5">
        <v>223138.85021166084</v>
      </c>
      <c r="I5" s="5">
        <v>491105.51687832689</v>
      </c>
      <c r="J5" s="5">
        <v>491105.51687832689</v>
      </c>
      <c r="K5" s="5">
        <v>491105.51687832689</v>
      </c>
      <c r="L5" s="5">
        <v>491105.51687832689</v>
      </c>
      <c r="M5" s="5">
        <v>491105.51687832689</v>
      </c>
      <c r="N5" s="5">
        <v>491105.51687832689</v>
      </c>
      <c r="O5" s="5">
        <v>491105.51687832689</v>
      </c>
      <c r="P5" s="5">
        <v>491105.51687832689</v>
      </c>
      <c r="Q5" s="5">
        <v>491105.51687832689</v>
      </c>
      <c r="R5" s="5">
        <v>491105.51687832689</v>
      </c>
      <c r="S5" s="5">
        <v>491105.51687832689</v>
      </c>
      <c r="T5" s="5">
        <v>491105.51687832689</v>
      </c>
      <c r="U5" s="5">
        <v>491105.51687832689</v>
      </c>
      <c r="V5" s="10">
        <v>491105.51687832689</v>
      </c>
    </row>
    <row r="6" spans="1:22">
      <c r="A6" s="8" t="s">
        <v>121</v>
      </c>
      <c r="B6" s="4" t="s">
        <v>1</v>
      </c>
      <c r="C6" s="5">
        <f>'F-Investment Type 3'!C20</f>
        <v>-933771.5800562501</v>
      </c>
      <c r="D6" s="5">
        <v>-1476295.3583333334</v>
      </c>
      <c r="E6" s="5">
        <v>-746387.65416666772</v>
      </c>
      <c r="F6" s="5">
        <v>1287177.8833333328</v>
      </c>
      <c r="G6" s="5">
        <v>1675964.020833334</v>
      </c>
      <c r="H6" s="5">
        <v>2064750.1583333313</v>
      </c>
      <c r="I6" s="5">
        <v>2332716.8249999974</v>
      </c>
      <c r="J6" s="5">
        <v>2332716.8249999974</v>
      </c>
      <c r="K6" s="5">
        <v>2332716.8249999974</v>
      </c>
      <c r="L6" s="5">
        <v>2332716.8249999974</v>
      </c>
      <c r="M6" s="5">
        <v>2332716.8249999974</v>
      </c>
      <c r="N6" s="5">
        <v>2332716.8249999974</v>
      </c>
      <c r="O6" s="5">
        <v>2332716.8249999974</v>
      </c>
      <c r="P6" s="5">
        <v>2332716.8249999974</v>
      </c>
      <c r="Q6" s="5">
        <v>2332716.8249999974</v>
      </c>
      <c r="R6" s="5">
        <v>2332716.8249999974</v>
      </c>
      <c r="S6" s="5">
        <v>2332716.8249999974</v>
      </c>
      <c r="T6" s="5">
        <v>2332716.8249999974</v>
      </c>
      <c r="U6" s="5">
        <v>2332716.8249999974</v>
      </c>
      <c r="V6" s="10">
        <v>2332716.8249999974</v>
      </c>
    </row>
    <row r="7" spans="1:22">
      <c r="A7" s="8" t="s">
        <v>122</v>
      </c>
      <c r="B7" s="4" t="s">
        <v>1</v>
      </c>
      <c r="C7" s="5">
        <f>'F-Investment Type 4'!C20</f>
        <v>-4405968.9458600972</v>
      </c>
      <c r="D7" s="5">
        <v>-1211418.2223195517</v>
      </c>
      <c r="E7" s="5">
        <v>-681427.46771062631</v>
      </c>
      <c r="F7" s="5">
        <v>1510052.8917815071</v>
      </c>
      <c r="G7" s="5">
        <v>1954557.7813935485</v>
      </c>
      <c r="H7" s="5">
        <v>2399062.6710055918</v>
      </c>
      <c r="I7" s="5">
        <v>2667029.3376722578</v>
      </c>
      <c r="J7" s="5">
        <v>2667029.3376722578</v>
      </c>
      <c r="K7" s="5">
        <v>2667029.3376722578</v>
      </c>
      <c r="L7" s="5">
        <v>2667029.3376722578</v>
      </c>
      <c r="M7" s="5">
        <v>2667029.3376722578</v>
      </c>
      <c r="N7" s="5">
        <v>2667029.3376722578</v>
      </c>
      <c r="O7" s="5">
        <v>2667029.3376722578</v>
      </c>
      <c r="P7" s="5">
        <v>2667029.3376722578</v>
      </c>
      <c r="Q7" s="5">
        <v>2667029.3376722578</v>
      </c>
      <c r="R7" s="5">
        <v>2667029.3376722578</v>
      </c>
      <c r="S7" s="5">
        <v>2667029.3376722578</v>
      </c>
      <c r="T7" s="5">
        <v>2667029.3376722578</v>
      </c>
      <c r="U7" s="5">
        <v>2667029.3376722578</v>
      </c>
      <c r="V7" s="10">
        <v>2667029.3376722578</v>
      </c>
    </row>
    <row r="8" spans="1:22">
      <c r="A8" s="8" t="s">
        <v>123</v>
      </c>
      <c r="B8" s="4" t="s">
        <v>1</v>
      </c>
      <c r="C8" s="5">
        <f>'F-Investment Type 5'!C20</f>
        <v>-115589.92356604151</v>
      </c>
      <c r="D8" s="5">
        <v>-781842.99375000037</v>
      </c>
      <c r="E8" s="5">
        <v>-578380.92812500102</v>
      </c>
      <c r="F8" s="5">
        <v>342226.9291666667</v>
      </c>
      <c r="G8" s="5">
        <v>494775.328125</v>
      </c>
      <c r="H8" s="5">
        <v>647323.72708333284</v>
      </c>
      <c r="I8" s="5">
        <v>915290.39374999981</v>
      </c>
      <c r="J8" s="5">
        <v>915290.39374999981</v>
      </c>
      <c r="K8" s="5">
        <v>915290.39374999981</v>
      </c>
      <c r="L8" s="5">
        <v>915290.39374999981</v>
      </c>
      <c r="M8" s="5">
        <v>915290.39374999981</v>
      </c>
      <c r="N8" s="5">
        <v>915290.39374999981</v>
      </c>
      <c r="O8" s="5">
        <v>915290.39374999981</v>
      </c>
      <c r="P8" s="5">
        <v>915290.39374999981</v>
      </c>
      <c r="Q8" s="5">
        <v>915290.39374999981</v>
      </c>
      <c r="R8" s="5">
        <v>915290.39374999981</v>
      </c>
      <c r="S8" s="5">
        <v>915290.39374999981</v>
      </c>
      <c r="T8" s="5">
        <v>915290.39374999981</v>
      </c>
      <c r="U8" s="5">
        <v>915290.39374999981</v>
      </c>
      <c r="V8" s="10">
        <v>915290.39374999981</v>
      </c>
    </row>
    <row r="9" spans="1:22">
      <c r="A9" s="8" t="s">
        <v>124</v>
      </c>
      <c r="B9" s="4" t="s">
        <v>1</v>
      </c>
      <c r="C9" s="5">
        <f>'F-Investment Type 6'!C20</f>
        <v>-8201358.5144542083</v>
      </c>
      <c r="D9" s="5">
        <v>-759527.54285479547</v>
      </c>
      <c r="E9" s="5">
        <v>-476401.65182298562</v>
      </c>
      <c r="F9" s="5">
        <v>683990.75058715744</v>
      </c>
      <c r="G9" s="5">
        <v>921980.1049006125</v>
      </c>
      <c r="H9" s="5">
        <v>1159969.459214068</v>
      </c>
      <c r="I9" s="5">
        <v>1427936.125880735</v>
      </c>
      <c r="J9" s="5">
        <v>1427936.125880735</v>
      </c>
      <c r="K9" s="5">
        <v>1427936.125880735</v>
      </c>
      <c r="L9" s="5">
        <v>1427936.125880735</v>
      </c>
      <c r="M9" s="5">
        <v>1427936.125880735</v>
      </c>
      <c r="N9" s="5">
        <v>1427936.125880735</v>
      </c>
      <c r="O9" s="5">
        <v>1427936.125880735</v>
      </c>
      <c r="P9" s="5">
        <v>1427936.125880735</v>
      </c>
      <c r="Q9" s="5">
        <v>1427936.125880735</v>
      </c>
      <c r="R9" s="5">
        <v>1427936.125880735</v>
      </c>
      <c r="S9" s="5">
        <v>1427936.125880735</v>
      </c>
      <c r="T9" s="5">
        <v>1427936.125880735</v>
      </c>
      <c r="U9" s="5">
        <v>1427936.125880735</v>
      </c>
      <c r="V9" s="10">
        <v>1427936.125880735</v>
      </c>
    </row>
    <row r="10" spans="1:22" ht="15.75" thickBot="1">
      <c r="A10" s="8"/>
      <c r="B10" s="4"/>
      <c r="C10" s="5">
        <f t="shared" ref="C10:V10" si="0">SUM(C4:C9)</f>
        <v>-22017269.456536599</v>
      </c>
      <c r="D10" s="11">
        <f t="shared" si="0"/>
        <v>-5643583.3806656636</v>
      </c>
      <c r="E10" s="11">
        <f t="shared" si="0"/>
        <v>-3444877.6683387691</v>
      </c>
      <c r="F10" s="11">
        <f t="shared" si="0"/>
        <v>4702042.8182042167</v>
      </c>
      <c r="G10" s="11">
        <f t="shared" si="0"/>
        <v>6279503.522755268</v>
      </c>
      <c r="H10" s="11">
        <f t="shared" si="0"/>
        <v>7856964.2273063203</v>
      </c>
      <c r="I10" s="11">
        <f t="shared" si="0"/>
        <v>9464764.2273063175</v>
      </c>
      <c r="J10" s="11">
        <f t="shared" si="0"/>
        <v>9464764.2273063175</v>
      </c>
      <c r="K10" s="11">
        <f t="shared" si="0"/>
        <v>9464764.2273063175</v>
      </c>
      <c r="L10" s="11">
        <f t="shared" si="0"/>
        <v>9464764.2273063175</v>
      </c>
      <c r="M10" s="11">
        <f t="shared" si="0"/>
        <v>9464764.2273063175</v>
      </c>
      <c r="N10" s="11">
        <f t="shared" si="0"/>
        <v>9464764.2273063175</v>
      </c>
      <c r="O10" s="11">
        <f t="shared" si="0"/>
        <v>9464764.2273063175</v>
      </c>
      <c r="P10" s="11">
        <f t="shared" si="0"/>
        <v>9464764.2273063175</v>
      </c>
      <c r="Q10" s="11">
        <f t="shared" si="0"/>
        <v>9464764.2273063175</v>
      </c>
      <c r="R10" s="11">
        <f t="shared" si="0"/>
        <v>9464764.2273063175</v>
      </c>
      <c r="S10" s="11">
        <f t="shared" si="0"/>
        <v>9464764.2273063175</v>
      </c>
      <c r="T10" s="11">
        <f t="shared" si="0"/>
        <v>9464764.2273063175</v>
      </c>
      <c r="U10" s="11">
        <f t="shared" si="0"/>
        <v>9464764.2273063175</v>
      </c>
      <c r="V10" s="12">
        <f t="shared" si="0"/>
        <v>9464764.2273063175</v>
      </c>
    </row>
    <row r="11" spans="1:22">
      <c r="A11" s="523" t="s">
        <v>10</v>
      </c>
      <c r="B11" s="524"/>
      <c r="C11" s="525">
        <v>8.5000000000000006E-2</v>
      </c>
    </row>
    <row r="12" spans="1:22">
      <c r="A12" s="526" t="s">
        <v>7</v>
      </c>
      <c r="B12" s="527"/>
      <c r="C12" s="528">
        <f>NPV(C11,C10:V10)</f>
        <v>31071128.146313716</v>
      </c>
      <c r="D12" s="1"/>
      <c r="E12" s="1"/>
      <c r="F12" s="1"/>
      <c r="G12" s="1"/>
      <c r="H12" s="1"/>
    </row>
    <row r="13" spans="1:22">
      <c r="A13" s="526" t="s">
        <v>8</v>
      </c>
      <c r="B13" s="527"/>
      <c r="C13" s="529">
        <f>IRR(C10:V10)</f>
        <v>0.18500610361412675</v>
      </c>
      <c r="D13" s="1"/>
      <c r="E13" s="1"/>
      <c r="F13" s="1"/>
      <c r="G13" s="1"/>
      <c r="H13" s="1"/>
    </row>
    <row r="14" spans="1:22" ht="15.75" thickBot="1">
      <c r="A14" s="530" t="s">
        <v>9</v>
      </c>
      <c r="B14" s="531"/>
      <c r="C14" s="532">
        <f>MIRR(C10:V10,C11,0)</f>
        <v>8.8633660866811903E-2</v>
      </c>
      <c r="D14" s="1"/>
      <c r="E14" s="1"/>
      <c r="F14" s="1"/>
      <c r="G14" s="1"/>
      <c r="H14" s="1"/>
    </row>
    <row r="15" spans="1:22">
      <c r="C15" s="1"/>
      <c r="D15" s="1"/>
      <c r="E15" s="1"/>
      <c r="F15" s="1"/>
      <c r="G15" s="1"/>
      <c r="H15" s="1"/>
    </row>
    <row r="16" spans="1:22">
      <c r="C16" s="1"/>
      <c r="D16" s="1"/>
      <c r="E16" s="1"/>
      <c r="F16" s="1"/>
      <c r="G16" s="1"/>
      <c r="H16" s="1"/>
    </row>
    <row r="17" spans="3:8">
      <c r="C17" s="1"/>
      <c r="D17" s="1"/>
      <c r="E17" s="1"/>
      <c r="F17" s="1"/>
      <c r="G17" s="1"/>
      <c r="H17" s="1"/>
    </row>
    <row r="18" spans="3:8">
      <c r="C18" s="1"/>
      <c r="D18" s="1"/>
      <c r="E18" s="1"/>
      <c r="F18" s="1"/>
      <c r="G18" s="1"/>
      <c r="H18" s="1"/>
    </row>
    <row r="19" spans="3:8">
      <c r="C19" s="1"/>
      <c r="D19" s="1"/>
      <c r="E19" s="1"/>
      <c r="F19" s="1"/>
      <c r="G19" s="1"/>
      <c r="H19" s="1"/>
    </row>
    <row r="20" spans="3:8">
      <c r="C20" s="1"/>
      <c r="D20" s="1"/>
      <c r="E20" s="1"/>
      <c r="F20" s="1"/>
      <c r="G20" s="1"/>
      <c r="H20" s="1"/>
    </row>
    <row r="21" spans="3:8">
      <c r="C21" s="1"/>
      <c r="D21" s="1"/>
      <c r="E21" s="1"/>
      <c r="F21" s="1"/>
      <c r="G21" s="1"/>
      <c r="H21" s="1"/>
    </row>
  </sheetData>
  <pageMargins left="0.7" right="0.7" top="0.75" bottom="0.75" header="0.3" footer="0.3"/>
  <pageSetup orientation="portrait" horizontalDpi="4294967293" verticalDpi="4294967293" r:id="rId1"/>
</worksheet>
</file>

<file path=xl/worksheets/sheet8.xml><?xml version="1.0" encoding="utf-8"?>
<worksheet xmlns="http://schemas.openxmlformats.org/spreadsheetml/2006/main" xmlns:r="http://schemas.openxmlformats.org/officeDocument/2006/relationships">
  <dimension ref="B5:D12"/>
  <sheetViews>
    <sheetView workbookViewId="0">
      <selection activeCell="H19" sqref="H19"/>
    </sheetView>
  </sheetViews>
  <sheetFormatPr defaultRowHeight="15"/>
  <cols>
    <col min="4" max="4" width="14.28515625" bestFit="1" customWidth="1"/>
  </cols>
  <sheetData>
    <row r="5" spans="2:4">
      <c r="B5" t="s">
        <v>6</v>
      </c>
      <c r="C5" t="s">
        <v>2</v>
      </c>
      <c r="D5" s="2">
        <f>SUM('[16]Overall Ec Incremental Results'!$C$11:$V$11)+SUM('[14]Overall Ec Incremental Benefits'!$C$11:$V$11)+SUM('[17]Overall Ec Incremental Benefits'!$C$11:$V$11)+SUM('[18]Overall Incremental Benefits'!$C$11:$V$11)+SUM('[19]Overall Incremental Benefits'!$C$11:$V$11)+SUM('[20]Overall Incremental Benefits'!$C$11:$V$11)+SUM('[21]Overall Incremental Benefits'!$C$11:$V$11)+SUM('[22]Overall Incremental Benefits'!$C$11:$W$11)+SUM('[23]Benefits Fin. and Econ Roads'!$E$90:$Y$90)+SUM('[24]Overall Incremental Benefits'!$C$11:$V$11)</f>
        <v>1855382196.8243363</v>
      </c>
    </row>
    <row r="6" spans="2:4">
      <c r="C6" t="s">
        <v>3</v>
      </c>
      <c r="D6" s="2">
        <f>SUM('[16]Overall Ec Incremental Results'!$C$19:$V$19)+SUM('[14]Overall Ec Incremental Benefits'!$C$19:$V$19)+SUM('[17]Overall Ec Incremental Benefits'!$C$20:$V$20)+SUM('[18]Overall Incremental Benefits'!$C$19:$V$19)+SUM('[19]Overall Incremental Benefits'!$C$20:$V$20)+SUM('[20]Overall Incremental Benefits'!$C$19:$V$19)+SUM('[21]Overall Incremental Benefits'!$C$19:$V$19)+SUM('[22]Overall Incremental Benefits'!$C$19:$W$19)+SUM('[23]Benefits Fin. and Econ Roads'!$E$94:$Y$94)+SUM('[24]Overall Incremental Benefits'!$C$19:$V$19)</f>
        <v>1476641646.5981879</v>
      </c>
    </row>
    <row r="7" spans="2:4">
      <c r="D7" s="3">
        <f>D5/D6</f>
        <v>1.2564877884208885</v>
      </c>
    </row>
    <row r="10" spans="2:4">
      <c r="B10" t="s">
        <v>5</v>
      </c>
      <c r="C10" t="s">
        <v>4</v>
      </c>
      <c r="D10" s="1">
        <f>SUM('[16]Overall Fn Incremental Benefits'!$C$11:$V$11)+SUM('[14]Overall Fn Incremental Benefits'!$C$11:$V$11)+SUM('[17]Overall Fn Incremental Benefits'!$C$11:$V$11)+SUM('[18]Overall Fn Incremental Benefits'!$C$11:$V$11)+SUM('[19]Overall Fn Incremental Benefits'!$C$11:$V$11)+SUM('[20]Overall Fn Incremental Benefits'!$C$11:$V$11)</f>
        <v>1614969912.9412842</v>
      </c>
    </row>
    <row r="11" spans="2:4">
      <c r="C11" t="s">
        <v>3</v>
      </c>
      <c r="D11" s="1">
        <f>SUM('[16]Overall Fn Incremental Benefits'!$C$19:$V$19)+SUM('[14]Overall Fn Incremental Benefits'!$C$19:$V$19)+SUM('[17]Overall Fn Incremental Benefits'!$C$19:$V$19)+SUM('[18]Overall Fn Incremental Benefits'!$C$19:$V$19)+SUM('[19]Overall Fn Incremental Benefits'!$C$19:$V$19)+SUM('[20]Overall Fn Incremental Benefits'!$C$19:$V$19)</f>
        <v>1388659663.827131</v>
      </c>
    </row>
    <row r="12" spans="2:4">
      <c r="D12" s="3">
        <f>D10/D11</f>
        <v>1.1629702763097796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dimension ref="A1:X43"/>
  <sheetViews>
    <sheetView showGridLines="0" zoomScale="70" zoomScaleNormal="70" workbookViewId="0">
      <selection sqref="A1:XFD1048576"/>
    </sheetView>
  </sheetViews>
  <sheetFormatPr defaultColWidth="9" defaultRowHeight="15"/>
  <cols>
    <col min="1" max="1" width="76.140625" style="511" customWidth="1"/>
    <col min="2" max="2" width="13.5703125" style="511" customWidth="1"/>
    <col min="3" max="7" width="16.42578125" style="511" bestFit="1" customWidth="1"/>
    <col min="8" max="9" width="14.85546875" style="511" customWidth="1"/>
    <col min="10" max="10" width="16.7109375" style="511" bestFit="1" customWidth="1"/>
    <col min="11" max="21" width="14.85546875" style="511" customWidth="1"/>
    <col min="22" max="22" width="14.85546875" style="512" customWidth="1"/>
    <col min="23" max="23" width="14.85546875" style="4" customWidth="1"/>
    <col min="24" max="24" width="9" style="513"/>
    <col min="25" max="16384" width="9" style="511"/>
  </cols>
  <sheetData>
    <row r="1" spans="1:24" s="440" customFormat="1" ht="15.75" thickBot="1">
      <c r="A1" s="514" t="s">
        <v>11</v>
      </c>
      <c r="B1" s="515"/>
      <c r="C1" s="515"/>
      <c r="D1" s="515"/>
      <c r="E1" s="515"/>
      <c r="F1" s="515"/>
      <c r="G1" s="515"/>
      <c r="H1" s="515"/>
      <c r="I1" s="515"/>
      <c r="J1" s="515"/>
      <c r="K1" s="515"/>
      <c r="L1" s="515"/>
      <c r="M1" s="515"/>
      <c r="N1" s="515"/>
      <c r="O1" s="515"/>
      <c r="P1" s="515"/>
      <c r="Q1" s="515"/>
      <c r="R1" s="515"/>
      <c r="S1" s="515"/>
      <c r="T1" s="515"/>
      <c r="U1" s="515"/>
      <c r="V1" s="515"/>
      <c r="W1" s="516"/>
      <c r="X1" s="439"/>
    </row>
    <row r="2" spans="1:24" s="440" customFormat="1" ht="14.25">
      <c r="A2" s="441"/>
      <c r="B2" s="442" t="s">
        <v>12</v>
      </c>
      <c r="C2" s="442"/>
      <c r="D2" s="442"/>
      <c r="E2" s="442"/>
      <c r="F2" s="442"/>
      <c r="G2" s="442"/>
      <c r="H2" s="442"/>
      <c r="I2" s="442"/>
      <c r="J2" s="442"/>
      <c r="K2" s="442"/>
      <c r="L2" s="442"/>
      <c r="M2" s="442"/>
      <c r="N2" s="442"/>
      <c r="O2" s="442"/>
      <c r="P2" s="442"/>
      <c r="Q2" s="442"/>
      <c r="R2" s="442"/>
      <c r="S2" s="442"/>
      <c r="T2" s="442"/>
      <c r="U2" s="442"/>
      <c r="V2" s="443"/>
      <c r="W2" s="444"/>
      <c r="X2" s="439"/>
    </row>
    <row r="3" spans="1:24" s="440" customFormat="1" ht="14.25">
      <c r="A3" s="445"/>
      <c r="B3" s="446"/>
      <c r="C3" s="196">
        <v>2023</v>
      </c>
      <c r="D3" s="196">
        <v>2024</v>
      </c>
      <c r="E3" s="196">
        <v>2025</v>
      </c>
      <c r="F3" s="196">
        <v>2026</v>
      </c>
      <c r="G3" s="196">
        <v>2027</v>
      </c>
      <c r="H3" s="196">
        <v>2028</v>
      </c>
      <c r="I3" s="196">
        <v>2029</v>
      </c>
      <c r="J3" s="196">
        <v>2030</v>
      </c>
      <c r="K3" s="196">
        <v>2031</v>
      </c>
      <c r="L3" s="196">
        <v>2032</v>
      </c>
      <c r="M3" s="196">
        <v>2033</v>
      </c>
      <c r="N3" s="196">
        <v>2034</v>
      </c>
      <c r="O3" s="196">
        <v>2035</v>
      </c>
      <c r="P3" s="196">
        <v>2036</v>
      </c>
      <c r="Q3" s="196">
        <v>2037</v>
      </c>
      <c r="R3" s="196">
        <v>2038</v>
      </c>
      <c r="S3" s="196">
        <v>2039</v>
      </c>
      <c r="T3" s="196">
        <v>2040</v>
      </c>
      <c r="U3" s="196">
        <v>2041</v>
      </c>
      <c r="V3" s="198">
        <v>2042</v>
      </c>
      <c r="W3" s="447"/>
      <c r="X3" s="439"/>
    </row>
    <row r="4" spans="1:24" s="440" customFormat="1" ht="14.25">
      <c r="A4" s="448" t="s">
        <v>116</v>
      </c>
      <c r="B4" s="449"/>
      <c r="C4" s="30"/>
      <c r="D4" s="30"/>
      <c r="E4" s="30"/>
      <c r="F4" s="30"/>
      <c r="G4" s="30"/>
      <c r="H4" s="30"/>
      <c r="I4" s="30"/>
      <c r="J4" s="31"/>
      <c r="K4" s="32"/>
      <c r="L4" s="32"/>
      <c r="M4" s="32"/>
      <c r="N4" s="32"/>
      <c r="O4" s="32"/>
      <c r="P4" s="32"/>
      <c r="Q4" s="32"/>
      <c r="R4" s="32"/>
      <c r="S4" s="32"/>
      <c r="T4" s="32"/>
      <c r="U4" s="32"/>
      <c r="V4" s="33"/>
      <c r="W4" s="34"/>
      <c r="X4" s="439"/>
    </row>
    <row r="5" spans="1:24" s="440" customFormat="1" ht="14.25">
      <c r="A5" s="448" t="s">
        <v>13</v>
      </c>
      <c r="B5" s="450" t="s">
        <v>1</v>
      </c>
      <c r="C5" s="451">
        <v>425811.8260869566</v>
      </c>
      <c r="D5" s="451">
        <v>1540170.4347826089</v>
      </c>
      <c r="E5" s="451">
        <v>2310255.6521739131</v>
      </c>
      <c r="F5" s="451">
        <v>4457434.4347826084</v>
      </c>
      <c r="G5" s="451">
        <v>5571793.0434782607</v>
      </c>
      <c r="H5" s="451">
        <v>5571793.0434782607</v>
      </c>
      <c r="I5" s="451">
        <v>5571793.0434782607</v>
      </c>
      <c r="J5" s="451">
        <v>5571793.0434782607</v>
      </c>
      <c r="K5" s="451">
        <v>5571793.0434782607</v>
      </c>
      <c r="L5" s="451">
        <v>5571793.0434782607</v>
      </c>
      <c r="M5" s="451">
        <v>5571793.0434782607</v>
      </c>
      <c r="N5" s="451">
        <v>5571793.0434782607</v>
      </c>
      <c r="O5" s="451">
        <v>5571793.0434782607</v>
      </c>
      <c r="P5" s="451">
        <v>5571793.0434782607</v>
      </c>
      <c r="Q5" s="451">
        <v>5571793.0434782607</v>
      </c>
      <c r="R5" s="451">
        <v>5571793.0434782607</v>
      </c>
      <c r="S5" s="451">
        <v>5571793.0434782607</v>
      </c>
      <c r="T5" s="451">
        <v>5571793.0434782607</v>
      </c>
      <c r="U5" s="451">
        <v>5571793.0434782607</v>
      </c>
      <c r="V5" s="452">
        <v>5571793.0434782607</v>
      </c>
      <c r="W5" s="453"/>
      <c r="X5" s="439"/>
    </row>
    <row r="6" spans="1:24" s="440" customFormat="1" ht="14.25">
      <c r="A6" s="454" t="s">
        <v>14</v>
      </c>
      <c r="B6" s="450" t="s">
        <v>1</v>
      </c>
      <c r="C6" s="31">
        <v>95601.076923076937</v>
      </c>
      <c r="D6" s="31">
        <v>299969.84615384619</v>
      </c>
      <c r="E6" s="31">
        <v>1265712.4615384615</v>
      </c>
      <c r="F6" s="31">
        <v>2122687.384615385</v>
      </c>
      <c r="G6" s="31">
        <v>2653359.230769231</v>
      </c>
      <c r="H6" s="31">
        <v>2653359.230769231</v>
      </c>
      <c r="I6" s="31">
        <v>2653359.230769231</v>
      </c>
      <c r="J6" s="31">
        <v>2653359.230769231</v>
      </c>
      <c r="K6" s="31">
        <v>2653359.230769231</v>
      </c>
      <c r="L6" s="31">
        <v>2653359.230769231</v>
      </c>
      <c r="M6" s="31">
        <v>2653359.230769231</v>
      </c>
      <c r="N6" s="31">
        <v>2653359.230769231</v>
      </c>
      <c r="O6" s="31">
        <v>2653359.230769231</v>
      </c>
      <c r="P6" s="31">
        <v>2653359.230769231</v>
      </c>
      <c r="Q6" s="31">
        <v>2653359.230769231</v>
      </c>
      <c r="R6" s="31">
        <v>2653359.230769231</v>
      </c>
      <c r="S6" s="31">
        <v>2653359.230769231</v>
      </c>
      <c r="T6" s="31">
        <v>2653359.230769231</v>
      </c>
      <c r="U6" s="31">
        <v>2653359.230769231</v>
      </c>
      <c r="V6" s="455">
        <v>2653359.230769231</v>
      </c>
      <c r="W6" s="142"/>
      <c r="X6" s="439"/>
    </row>
    <row r="7" spans="1:24" s="440" customFormat="1" ht="14.25">
      <c r="A7" s="454" t="s">
        <v>15</v>
      </c>
      <c r="B7" s="450" t="s">
        <v>1</v>
      </c>
      <c r="C7" s="31">
        <v>151546.18181818182</v>
      </c>
      <c r="D7" s="31">
        <v>714432</v>
      </c>
      <c r="E7" s="31">
        <v>1380152.7272727273</v>
      </c>
      <c r="F7" s="31">
        <v>3074222.5454545454</v>
      </c>
      <c r="G7" s="31">
        <v>3842778.1818181821</v>
      </c>
      <c r="H7" s="31">
        <v>3842778.1818181821</v>
      </c>
      <c r="I7" s="31">
        <v>3842778.1818181821</v>
      </c>
      <c r="J7" s="31">
        <v>3842778.1818181821</v>
      </c>
      <c r="K7" s="31">
        <v>3842778.1818181821</v>
      </c>
      <c r="L7" s="31">
        <v>3842778.1818181821</v>
      </c>
      <c r="M7" s="31">
        <v>3842778.1818181821</v>
      </c>
      <c r="N7" s="31">
        <v>3842778.1818181821</v>
      </c>
      <c r="O7" s="31">
        <v>3842778.1818181821</v>
      </c>
      <c r="P7" s="31">
        <v>3842778.1818181821</v>
      </c>
      <c r="Q7" s="31">
        <v>3842778.1818181821</v>
      </c>
      <c r="R7" s="31">
        <v>3842778.1818181821</v>
      </c>
      <c r="S7" s="31">
        <v>3842778.1818181821</v>
      </c>
      <c r="T7" s="31">
        <v>3842778.1818181821</v>
      </c>
      <c r="U7" s="31">
        <v>3842778.1818181821</v>
      </c>
      <c r="V7" s="455">
        <v>3842778.1818181821</v>
      </c>
      <c r="W7" s="142"/>
      <c r="X7" s="439"/>
    </row>
    <row r="8" spans="1:24" s="440" customFormat="1" ht="14.25">
      <c r="A8" s="456" t="s">
        <v>16</v>
      </c>
      <c r="B8" s="457" t="s">
        <v>1</v>
      </c>
      <c r="C8" s="31">
        <v>109912.61538461539</v>
      </c>
      <c r="D8" s="31">
        <v>1089966.7692307692</v>
      </c>
      <c r="E8" s="31">
        <v>2287556.307692308</v>
      </c>
      <c r="F8" s="31">
        <v>3920216.615384616</v>
      </c>
      <c r="G8" s="31">
        <v>4900270.7692307699</v>
      </c>
      <c r="H8" s="31">
        <v>4900270.7692307699</v>
      </c>
      <c r="I8" s="31">
        <v>4900270.7692307699</v>
      </c>
      <c r="J8" s="31">
        <v>4900270.7692307699</v>
      </c>
      <c r="K8" s="31">
        <v>4900270.7692307699</v>
      </c>
      <c r="L8" s="31">
        <v>4900270.7692307699</v>
      </c>
      <c r="M8" s="31">
        <v>4900270.7692307699</v>
      </c>
      <c r="N8" s="31">
        <v>4900270.7692307699</v>
      </c>
      <c r="O8" s="31">
        <v>4900270.7692307699</v>
      </c>
      <c r="P8" s="31">
        <v>4900270.7692307699</v>
      </c>
      <c r="Q8" s="31">
        <v>4900270.7692307699</v>
      </c>
      <c r="R8" s="31">
        <v>4900270.7692307699</v>
      </c>
      <c r="S8" s="31">
        <v>4900270.7692307699</v>
      </c>
      <c r="T8" s="31">
        <v>4900270.7692307699</v>
      </c>
      <c r="U8" s="31">
        <v>4900270.7692307699</v>
      </c>
      <c r="V8" s="455">
        <v>4900270.7692307699</v>
      </c>
      <c r="W8" s="142"/>
      <c r="X8" s="439"/>
    </row>
    <row r="9" spans="1:24" s="440" customFormat="1" ht="14.25">
      <c r="A9" s="456" t="s">
        <v>17</v>
      </c>
      <c r="B9" s="457" t="s">
        <v>1</v>
      </c>
      <c r="C9" s="31">
        <v>1164100.5384615385</v>
      </c>
      <c r="D9" s="31">
        <v>2748960.307692307</v>
      </c>
      <c r="E9" s="31">
        <v>4754579.307692307</v>
      </c>
      <c r="F9" s="31">
        <v>8022476.0000000009</v>
      </c>
      <c r="G9" s="31">
        <v>10028095.000000002</v>
      </c>
      <c r="H9" s="31">
        <v>10028095.000000002</v>
      </c>
      <c r="I9" s="31">
        <v>10028095.000000002</v>
      </c>
      <c r="J9" s="31">
        <v>10028095.000000002</v>
      </c>
      <c r="K9" s="31">
        <v>10028095.000000002</v>
      </c>
      <c r="L9" s="31">
        <v>10028095.000000002</v>
      </c>
      <c r="M9" s="31">
        <v>10028095.000000002</v>
      </c>
      <c r="N9" s="31">
        <v>10028095.000000002</v>
      </c>
      <c r="O9" s="31">
        <v>10028095.000000002</v>
      </c>
      <c r="P9" s="31">
        <v>10028095.000000002</v>
      </c>
      <c r="Q9" s="31">
        <v>10028095.000000002</v>
      </c>
      <c r="R9" s="31">
        <v>10028095.000000002</v>
      </c>
      <c r="S9" s="31">
        <v>10028095.000000002</v>
      </c>
      <c r="T9" s="31">
        <v>10028095.000000002</v>
      </c>
      <c r="U9" s="31">
        <v>10028095.000000002</v>
      </c>
      <c r="V9" s="455">
        <v>10028095.000000002</v>
      </c>
      <c r="W9" s="142"/>
      <c r="X9" s="439"/>
    </row>
    <row r="10" spans="1:24" s="440" customFormat="1" thickBot="1">
      <c r="A10" s="360" t="s">
        <v>18</v>
      </c>
      <c r="B10" s="458" t="s">
        <v>1</v>
      </c>
      <c r="C10" s="459">
        <v>167140</v>
      </c>
      <c r="D10" s="459">
        <v>334280</v>
      </c>
      <c r="E10" s="459">
        <v>501420</v>
      </c>
      <c r="F10" s="459">
        <v>668560</v>
      </c>
      <c r="G10" s="459">
        <v>835700</v>
      </c>
      <c r="H10" s="459">
        <v>835700</v>
      </c>
      <c r="I10" s="460">
        <v>835700</v>
      </c>
      <c r="J10" s="460">
        <v>835700</v>
      </c>
      <c r="K10" s="460">
        <v>835700</v>
      </c>
      <c r="L10" s="460">
        <v>835700</v>
      </c>
      <c r="M10" s="460">
        <v>835700</v>
      </c>
      <c r="N10" s="460">
        <v>835700</v>
      </c>
      <c r="O10" s="460">
        <v>835700</v>
      </c>
      <c r="P10" s="460">
        <v>835700</v>
      </c>
      <c r="Q10" s="460">
        <v>835700</v>
      </c>
      <c r="R10" s="460">
        <v>835700</v>
      </c>
      <c r="S10" s="460">
        <v>835700</v>
      </c>
      <c r="T10" s="460">
        <v>835700</v>
      </c>
      <c r="U10" s="460">
        <v>835700</v>
      </c>
      <c r="V10" s="461">
        <v>835700</v>
      </c>
      <c r="W10" s="142"/>
      <c r="X10" s="439"/>
    </row>
    <row r="11" spans="1:24" s="440" customFormat="1" thickBot="1">
      <c r="A11" s="462" t="s">
        <v>19</v>
      </c>
      <c r="B11" s="463" t="s">
        <v>1</v>
      </c>
      <c r="C11" s="464">
        <v>2114112.2386743692</v>
      </c>
      <c r="D11" s="464">
        <v>6727779.3578595314</v>
      </c>
      <c r="E11" s="464">
        <v>12499676.456369717</v>
      </c>
      <c r="F11" s="464">
        <v>22265596.980237156</v>
      </c>
      <c r="G11" s="464">
        <v>27831996.225296445</v>
      </c>
      <c r="H11" s="464">
        <v>27831996.225296445</v>
      </c>
      <c r="I11" s="464">
        <v>27831996.225296445</v>
      </c>
      <c r="J11" s="464">
        <v>27831996.225296445</v>
      </c>
      <c r="K11" s="464">
        <v>27831996.225296445</v>
      </c>
      <c r="L11" s="464">
        <v>27831996.225296445</v>
      </c>
      <c r="M11" s="464">
        <v>27831996.225296445</v>
      </c>
      <c r="N11" s="464">
        <v>27831996.225296445</v>
      </c>
      <c r="O11" s="464">
        <v>27831996.225296445</v>
      </c>
      <c r="P11" s="464">
        <v>27831996.225296445</v>
      </c>
      <c r="Q11" s="464">
        <v>27831996.225296445</v>
      </c>
      <c r="R11" s="464">
        <v>27831996.225296445</v>
      </c>
      <c r="S11" s="464">
        <v>27831996.225296445</v>
      </c>
      <c r="T11" s="464">
        <v>27831996.225296445</v>
      </c>
      <c r="U11" s="464">
        <v>27831996.225296445</v>
      </c>
      <c r="V11" s="465">
        <v>27831996.225296445</v>
      </c>
      <c r="W11" s="34"/>
      <c r="X11" s="439"/>
    </row>
    <row r="12" spans="1:24" s="440" customFormat="1" ht="14.25">
      <c r="A12" s="466" t="s">
        <v>3</v>
      </c>
      <c r="B12" s="467"/>
      <c r="C12" s="468"/>
      <c r="D12" s="468"/>
      <c r="E12" s="468"/>
      <c r="F12" s="468"/>
      <c r="G12" s="468"/>
      <c r="H12" s="468"/>
      <c r="I12" s="468"/>
      <c r="J12" s="468"/>
      <c r="K12" s="468"/>
      <c r="L12" s="468"/>
      <c r="M12" s="468"/>
      <c r="N12" s="468"/>
      <c r="O12" s="468"/>
      <c r="P12" s="468"/>
      <c r="Q12" s="468"/>
      <c r="R12" s="468"/>
      <c r="S12" s="468"/>
      <c r="T12" s="468"/>
      <c r="U12" s="468"/>
      <c r="V12" s="469"/>
      <c r="W12" s="34"/>
      <c r="X12" s="439"/>
    </row>
    <row r="13" spans="1:24" s="440" customFormat="1" ht="14.25">
      <c r="A13" s="470" t="s">
        <v>20</v>
      </c>
      <c r="B13" s="471" t="s">
        <v>1</v>
      </c>
      <c r="C13" s="472">
        <v>976000</v>
      </c>
      <c r="D13" s="472">
        <v>976000</v>
      </c>
      <c r="E13" s="472">
        <v>976000</v>
      </c>
      <c r="F13" s="472">
        <v>976000</v>
      </c>
      <c r="G13" s="472">
        <v>976000</v>
      </c>
      <c r="H13" s="472"/>
      <c r="I13" s="472"/>
      <c r="J13" s="472"/>
      <c r="K13" s="472"/>
      <c r="L13" s="472"/>
      <c r="M13" s="472"/>
      <c r="N13" s="472"/>
      <c r="O13" s="472"/>
      <c r="P13" s="472"/>
      <c r="Q13" s="472"/>
      <c r="R13" s="472"/>
      <c r="S13" s="472"/>
      <c r="T13" s="472"/>
      <c r="U13" s="472"/>
      <c r="V13" s="473"/>
      <c r="W13" s="34"/>
      <c r="X13" s="439"/>
    </row>
    <row r="14" spans="1:24" s="440" customFormat="1" ht="14.25">
      <c r="A14" s="474" t="s">
        <v>13</v>
      </c>
      <c r="B14" s="450" t="s">
        <v>1</v>
      </c>
      <c r="C14" s="460">
        <v>863115.05712325673</v>
      </c>
      <c r="D14" s="460">
        <v>1726230.1142465135</v>
      </c>
      <c r="E14" s="460">
        <v>2589345.1713697696</v>
      </c>
      <c r="F14" s="460">
        <v>3452460.2284930269</v>
      </c>
      <c r="G14" s="460">
        <v>4315575.2856162833</v>
      </c>
      <c r="H14" s="460">
        <v>4315575.2856162833</v>
      </c>
      <c r="I14" s="460">
        <v>4315575.2856162833</v>
      </c>
      <c r="J14" s="460">
        <v>4315575.2856162833</v>
      </c>
      <c r="K14" s="460">
        <v>4315575.2856162833</v>
      </c>
      <c r="L14" s="460">
        <v>4315575.2856162833</v>
      </c>
      <c r="M14" s="460">
        <v>4315575.2856162833</v>
      </c>
      <c r="N14" s="460">
        <v>4315575.2856162833</v>
      </c>
      <c r="O14" s="460">
        <v>4315575.2856162833</v>
      </c>
      <c r="P14" s="460">
        <v>4315575.2856162833</v>
      </c>
      <c r="Q14" s="460">
        <v>4315575.2856162833</v>
      </c>
      <c r="R14" s="460">
        <v>4315575.2856162833</v>
      </c>
      <c r="S14" s="460">
        <v>4315575.2856162833</v>
      </c>
      <c r="T14" s="460">
        <v>4315575.2856162833</v>
      </c>
      <c r="U14" s="460">
        <v>4315575.2856162833</v>
      </c>
      <c r="V14" s="461">
        <v>4315575.2856162833</v>
      </c>
      <c r="W14" s="142"/>
      <c r="X14" s="439"/>
    </row>
    <row r="15" spans="1:24" s="476" customFormat="1" ht="14.25">
      <c r="A15" s="454" t="s">
        <v>14</v>
      </c>
      <c r="B15" s="450" t="s">
        <v>1</v>
      </c>
      <c r="C15" s="31">
        <v>384451.70817557332</v>
      </c>
      <c r="D15" s="31">
        <v>768903.41635114665</v>
      </c>
      <c r="E15" s="31">
        <v>1153355.12452672</v>
      </c>
      <c r="F15" s="31">
        <v>1537806.8327022933</v>
      </c>
      <c r="G15" s="31">
        <v>1922258.5408778666</v>
      </c>
      <c r="H15" s="31">
        <v>1922258.5408778666</v>
      </c>
      <c r="I15" s="31">
        <v>1922258.5408778666</v>
      </c>
      <c r="J15" s="31">
        <v>1922258.5408778666</v>
      </c>
      <c r="K15" s="31">
        <v>1922258.5408778666</v>
      </c>
      <c r="L15" s="31">
        <v>1922258.5408778666</v>
      </c>
      <c r="M15" s="31">
        <v>1922258.5408778666</v>
      </c>
      <c r="N15" s="31">
        <v>1922258.5408778666</v>
      </c>
      <c r="O15" s="31">
        <v>1922258.5408778666</v>
      </c>
      <c r="P15" s="31">
        <v>1922258.5408778666</v>
      </c>
      <c r="Q15" s="31">
        <v>1922258.5408778666</v>
      </c>
      <c r="R15" s="31">
        <v>1922258.5408778666</v>
      </c>
      <c r="S15" s="31">
        <v>1922258.5408778666</v>
      </c>
      <c r="T15" s="31">
        <v>1922258.5408778666</v>
      </c>
      <c r="U15" s="31">
        <v>1922258.5408778666</v>
      </c>
      <c r="V15" s="455">
        <v>1922258.5408778666</v>
      </c>
      <c r="W15" s="142"/>
      <c r="X15" s="475"/>
    </row>
    <row r="16" spans="1:24" s="476" customFormat="1" ht="14.25">
      <c r="A16" s="454" t="s">
        <v>15</v>
      </c>
      <c r="B16" s="450" t="s">
        <v>1</v>
      </c>
      <c r="C16" s="31">
        <v>520221.95529152954</v>
      </c>
      <c r="D16" s="31">
        <v>1040443.9105830591</v>
      </c>
      <c r="E16" s="31">
        <v>1560665.865874589</v>
      </c>
      <c r="F16" s="31">
        <v>2080887.8211661181</v>
      </c>
      <c r="G16" s="31">
        <v>2601109.7764576478</v>
      </c>
      <c r="H16" s="31">
        <v>2601109.7764576478</v>
      </c>
      <c r="I16" s="31">
        <v>2601109.7764576478</v>
      </c>
      <c r="J16" s="31">
        <v>2601109.7764576478</v>
      </c>
      <c r="K16" s="31">
        <v>2601109.7764576478</v>
      </c>
      <c r="L16" s="31">
        <v>2601109.7764576478</v>
      </c>
      <c r="M16" s="31">
        <v>2601109.7764576478</v>
      </c>
      <c r="N16" s="31">
        <v>2601109.7764576478</v>
      </c>
      <c r="O16" s="31">
        <v>2601109.7764576478</v>
      </c>
      <c r="P16" s="31">
        <v>2601109.7764576478</v>
      </c>
      <c r="Q16" s="31">
        <v>2601109.7764576478</v>
      </c>
      <c r="R16" s="31">
        <v>2601109.7764576478</v>
      </c>
      <c r="S16" s="31">
        <v>2601109.7764576478</v>
      </c>
      <c r="T16" s="31">
        <v>2601109.7764576478</v>
      </c>
      <c r="U16" s="31">
        <v>2601109.7764576478</v>
      </c>
      <c r="V16" s="455">
        <v>2601109.7764576478</v>
      </c>
      <c r="W16" s="142"/>
      <c r="X16" s="475"/>
    </row>
    <row r="17" spans="1:24" s="476" customFormat="1" ht="14.25">
      <c r="A17" s="456" t="s">
        <v>16</v>
      </c>
      <c r="B17" s="457" t="s">
        <v>1</v>
      </c>
      <c r="C17" s="31">
        <v>766380.11804549873</v>
      </c>
      <c r="D17" s="31">
        <v>1532760.2360909975</v>
      </c>
      <c r="E17" s="31">
        <v>2299140.3541364968</v>
      </c>
      <c r="F17" s="31">
        <v>3065520.4721819949</v>
      </c>
      <c r="G17" s="31">
        <v>3831900.590227494</v>
      </c>
      <c r="H17" s="31">
        <v>3831900.590227494</v>
      </c>
      <c r="I17" s="31">
        <v>3831900.590227494</v>
      </c>
      <c r="J17" s="31">
        <v>3831900.590227494</v>
      </c>
      <c r="K17" s="31">
        <v>3831900.590227494</v>
      </c>
      <c r="L17" s="31">
        <v>3831900.590227494</v>
      </c>
      <c r="M17" s="31">
        <v>3831900.590227494</v>
      </c>
      <c r="N17" s="31">
        <v>3831900.590227494</v>
      </c>
      <c r="O17" s="31">
        <v>3831900.590227494</v>
      </c>
      <c r="P17" s="31">
        <v>3831900.590227494</v>
      </c>
      <c r="Q17" s="31">
        <v>3831900.590227494</v>
      </c>
      <c r="R17" s="31">
        <v>3831900.590227494</v>
      </c>
      <c r="S17" s="31">
        <v>3831900.590227494</v>
      </c>
      <c r="T17" s="31">
        <v>3831900.590227494</v>
      </c>
      <c r="U17" s="31">
        <v>3831900.590227494</v>
      </c>
      <c r="V17" s="455">
        <v>3831900.590227494</v>
      </c>
      <c r="W17" s="142"/>
      <c r="X17" s="475"/>
    </row>
    <row r="18" spans="1:24" s="440" customFormat="1" thickBot="1">
      <c r="A18" s="456" t="s">
        <v>17</v>
      </c>
      <c r="B18" s="457" t="s">
        <v>1</v>
      </c>
      <c r="C18" s="460">
        <v>1882769.5895278538</v>
      </c>
      <c r="D18" s="460">
        <v>3765539.1790557075</v>
      </c>
      <c r="E18" s="460">
        <v>5648308.7685835604</v>
      </c>
      <c r="F18" s="460">
        <v>7531078.3581114151</v>
      </c>
      <c r="G18" s="460">
        <v>9413847.947639266</v>
      </c>
      <c r="H18" s="460">
        <v>9413847.947639266</v>
      </c>
      <c r="I18" s="460">
        <v>9413847.947639266</v>
      </c>
      <c r="J18" s="460">
        <v>9413847.947639266</v>
      </c>
      <c r="K18" s="460">
        <v>9413847.947639266</v>
      </c>
      <c r="L18" s="460">
        <v>9413847.947639266</v>
      </c>
      <c r="M18" s="460">
        <v>9413847.947639266</v>
      </c>
      <c r="N18" s="460">
        <v>9413847.947639266</v>
      </c>
      <c r="O18" s="460">
        <v>9413847.947639266</v>
      </c>
      <c r="P18" s="460">
        <v>9413847.947639266</v>
      </c>
      <c r="Q18" s="460">
        <v>9413847.947639266</v>
      </c>
      <c r="R18" s="460">
        <v>9413847.947639266</v>
      </c>
      <c r="S18" s="460">
        <v>9413847.947639266</v>
      </c>
      <c r="T18" s="460">
        <v>9413847.947639266</v>
      </c>
      <c r="U18" s="460">
        <v>9413847.947639266</v>
      </c>
      <c r="V18" s="461">
        <v>9413847.947639266</v>
      </c>
      <c r="W18" s="142"/>
      <c r="X18" s="439"/>
    </row>
    <row r="19" spans="1:24" s="476" customFormat="1" thickBot="1">
      <c r="A19" s="477" t="s">
        <v>21</v>
      </c>
      <c r="B19" s="463" t="s">
        <v>1</v>
      </c>
      <c r="C19" s="464">
        <v>5392938.4281637128</v>
      </c>
      <c r="D19" s="464">
        <v>9809876.8563274238</v>
      </c>
      <c r="E19" s="464">
        <v>14226815.284491135</v>
      </c>
      <c r="F19" s="464">
        <v>18643753.712654848</v>
      </c>
      <c r="G19" s="464">
        <v>23060692.140818559</v>
      </c>
      <c r="H19" s="464">
        <v>22084692.140818559</v>
      </c>
      <c r="I19" s="464">
        <v>22084692.140818559</v>
      </c>
      <c r="J19" s="464">
        <v>22084692.140818559</v>
      </c>
      <c r="K19" s="464">
        <v>22084692.140818559</v>
      </c>
      <c r="L19" s="464">
        <v>22084692.140818559</v>
      </c>
      <c r="M19" s="464">
        <v>22084692.140818559</v>
      </c>
      <c r="N19" s="464">
        <v>22084692.140818559</v>
      </c>
      <c r="O19" s="464">
        <v>22084692.140818559</v>
      </c>
      <c r="P19" s="464">
        <v>22084692.140818559</v>
      </c>
      <c r="Q19" s="464">
        <v>22084692.140818559</v>
      </c>
      <c r="R19" s="464">
        <v>22084692.140818559</v>
      </c>
      <c r="S19" s="464">
        <v>22084692.140818559</v>
      </c>
      <c r="T19" s="464">
        <v>22084692.140818559</v>
      </c>
      <c r="U19" s="464">
        <v>22084692.140818559</v>
      </c>
      <c r="V19" s="465">
        <v>22084692.140818559</v>
      </c>
      <c r="W19" s="34"/>
      <c r="X19" s="475"/>
    </row>
    <row r="20" spans="1:24" s="476" customFormat="1" thickBot="1">
      <c r="A20" s="478" t="s">
        <v>0</v>
      </c>
      <c r="B20" s="479" t="s">
        <v>1</v>
      </c>
      <c r="C20" s="480">
        <v>-3278826.1894893437</v>
      </c>
      <c r="D20" s="480">
        <v>-3082097.4984678924</v>
      </c>
      <c r="E20" s="480">
        <v>-1727138.8281214181</v>
      </c>
      <c r="F20" s="480">
        <v>3621843.2675823085</v>
      </c>
      <c r="G20" s="480">
        <v>4771304.0844778866</v>
      </c>
      <c r="H20" s="480">
        <v>5747304.0844778866</v>
      </c>
      <c r="I20" s="480">
        <v>5747304.0844778866</v>
      </c>
      <c r="J20" s="480">
        <v>5747304.0844778866</v>
      </c>
      <c r="K20" s="480">
        <v>5747304.0844778866</v>
      </c>
      <c r="L20" s="480">
        <v>5747304.0844778866</v>
      </c>
      <c r="M20" s="480">
        <v>5747304.0844778866</v>
      </c>
      <c r="N20" s="480">
        <v>5747304.0844778866</v>
      </c>
      <c r="O20" s="480">
        <v>5747304.0844778866</v>
      </c>
      <c r="P20" s="480">
        <v>5747304.0844778866</v>
      </c>
      <c r="Q20" s="480">
        <v>5747304.0844778866</v>
      </c>
      <c r="R20" s="480">
        <v>5747304.0844778866</v>
      </c>
      <c r="S20" s="480">
        <v>5747304.0844778866</v>
      </c>
      <c r="T20" s="480">
        <v>5747304.0844778866</v>
      </c>
      <c r="U20" s="480">
        <v>5747304.0844778866</v>
      </c>
      <c r="V20" s="481">
        <v>5747304.0844778866</v>
      </c>
      <c r="W20" s="482"/>
      <c r="X20" s="475"/>
    </row>
    <row r="21" spans="1:24" s="440" customFormat="1" thickBot="1">
      <c r="A21" s="483"/>
      <c r="B21" s="444"/>
      <c r="C21" s="484"/>
      <c r="D21" s="484"/>
      <c r="E21" s="484"/>
      <c r="F21" s="484"/>
      <c r="G21" s="484"/>
      <c r="H21" s="484"/>
      <c r="I21" s="485"/>
      <c r="J21" s="485"/>
      <c r="K21" s="486"/>
      <c r="L21" s="486"/>
      <c r="M21" s="486"/>
      <c r="N21" s="486"/>
      <c r="O21" s="486"/>
      <c r="P21" s="486"/>
      <c r="Q21" s="486"/>
      <c r="R21" s="486"/>
      <c r="S21" s="486"/>
      <c r="T21" s="486"/>
      <c r="U21" s="486"/>
      <c r="V21" s="487"/>
      <c r="W21" s="488"/>
      <c r="X21" s="439"/>
    </row>
    <row r="22" spans="1:24" s="440" customFormat="1" ht="14.25">
      <c r="A22" s="517" t="s">
        <v>22</v>
      </c>
      <c r="B22" s="518"/>
      <c r="C22" s="489"/>
      <c r="D22" s="490"/>
      <c r="E22" s="490"/>
      <c r="F22" s="490"/>
      <c r="G22" s="490"/>
      <c r="H22" s="490"/>
      <c r="I22" s="491"/>
      <c r="J22" s="491"/>
      <c r="K22" s="485"/>
      <c r="L22" s="485"/>
      <c r="M22" s="485"/>
      <c r="N22" s="485"/>
      <c r="O22" s="485"/>
      <c r="P22" s="485"/>
      <c r="Q22" s="485"/>
      <c r="R22" s="485"/>
      <c r="S22" s="485"/>
      <c r="T22" s="485"/>
      <c r="U22" s="485"/>
      <c r="V22" s="492"/>
      <c r="W22" s="493"/>
      <c r="X22" s="439"/>
    </row>
    <row r="23" spans="1:24" s="440" customFormat="1" ht="14.25">
      <c r="A23" s="494" t="s">
        <v>10</v>
      </c>
      <c r="B23" s="75">
        <v>0.06</v>
      </c>
      <c r="C23" s="489"/>
      <c r="D23" s="490"/>
      <c r="E23" s="490"/>
      <c r="F23" s="490"/>
      <c r="G23" s="490"/>
      <c r="H23" s="490"/>
      <c r="I23" s="491"/>
      <c r="J23" s="491"/>
      <c r="K23" s="491"/>
      <c r="L23" s="491"/>
      <c r="M23" s="491"/>
      <c r="N23" s="491"/>
      <c r="O23" s="491"/>
      <c r="P23" s="491"/>
      <c r="Q23" s="491"/>
      <c r="R23" s="491"/>
      <c r="S23" s="491"/>
      <c r="T23" s="491"/>
      <c r="U23" s="491"/>
      <c r="V23" s="495"/>
      <c r="W23" s="493"/>
      <c r="X23" s="439"/>
    </row>
    <row r="24" spans="1:24" s="440" customFormat="1" thickBot="1">
      <c r="A24" s="519" t="s">
        <v>23</v>
      </c>
      <c r="B24" s="520"/>
      <c r="C24" s="496"/>
      <c r="D24" s="491"/>
      <c r="E24" s="491"/>
      <c r="F24" s="491"/>
      <c r="G24" s="491"/>
      <c r="H24" s="491"/>
      <c r="I24" s="491"/>
      <c r="J24" s="491"/>
      <c r="K24" s="491"/>
      <c r="L24" s="491"/>
      <c r="M24" s="491"/>
      <c r="N24" s="491"/>
      <c r="O24" s="491"/>
      <c r="P24" s="491"/>
      <c r="Q24" s="491"/>
      <c r="R24" s="491"/>
      <c r="S24" s="491"/>
      <c r="T24" s="491"/>
      <c r="U24" s="491"/>
      <c r="V24" s="495"/>
      <c r="W24" s="493"/>
      <c r="X24" s="439"/>
    </row>
    <row r="25" spans="1:24" s="440" customFormat="1" thickBot="1">
      <c r="A25" s="497" t="s">
        <v>7</v>
      </c>
      <c r="B25" s="498">
        <v>40859197.431646623</v>
      </c>
      <c r="C25" s="499" t="s">
        <v>1</v>
      </c>
      <c r="D25" s="499"/>
      <c r="E25" s="499"/>
      <c r="F25" s="499"/>
      <c r="G25" s="499"/>
      <c r="H25" s="499"/>
      <c r="I25" s="499"/>
      <c r="J25" s="499"/>
      <c r="K25" s="491"/>
      <c r="L25" s="491"/>
      <c r="M25" s="491"/>
      <c r="N25" s="491"/>
      <c r="O25" s="491"/>
      <c r="P25" s="491"/>
      <c r="Q25" s="491"/>
      <c r="R25" s="491"/>
      <c r="S25" s="491"/>
      <c r="T25" s="491"/>
      <c r="U25" s="491"/>
      <c r="V25" s="495"/>
      <c r="W25" s="493"/>
      <c r="X25" s="439"/>
    </row>
    <row r="26" spans="1:24" s="440" customFormat="1" thickBot="1">
      <c r="A26" s="497" t="s">
        <v>8</v>
      </c>
      <c r="B26" s="81">
        <v>0.39644256572800252</v>
      </c>
      <c r="C26" s="500" t="s">
        <v>24</v>
      </c>
      <c r="D26" s="500"/>
      <c r="E26" s="500"/>
      <c r="F26" s="500"/>
      <c r="G26" s="500"/>
      <c r="H26" s="500"/>
      <c r="I26" s="500"/>
      <c r="J26" s="500"/>
      <c r="K26" s="491"/>
      <c r="L26" s="491"/>
      <c r="M26" s="491"/>
      <c r="N26" s="491"/>
      <c r="O26" s="491"/>
      <c r="P26" s="491"/>
      <c r="Q26" s="491"/>
      <c r="R26" s="491"/>
      <c r="S26" s="491"/>
      <c r="T26" s="491"/>
      <c r="U26" s="491"/>
      <c r="V26" s="495"/>
      <c r="W26" s="493"/>
      <c r="X26" s="439"/>
    </row>
    <row r="27" spans="1:24" s="440" customFormat="1" thickBot="1">
      <c r="A27" s="497" t="s">
        <v>9</v>
      </c>
      <c r="B27" s="81">
        <v>0.1707548916386421</v>
      </c>
      <c r="C27" s="499" t="s">
        <v>24</v>
      </c>
      <c r="D27" s="499"/>
      <c r="E27" s="499"/>
      <c r="F27" s="499"/>
      <c r="G27" s="499"/>
      <c r="H27" s="499"/>
      <c r="I27" s="499"/>
      <c r="J27" s="499"/>
      <c r="K27" s="491"/>
      <c r="L27" s="491"/>
      <c r="M27" s="491"/>
      <c r="N27" s="491"/>
      <c r="O27" s="491"/>
      <c r="P27" s="491"/>
      <c r="Q27" s="491"/>
      <c r="R27" s="491"/>
      <c r="S27" s="491"/>
      <c r="T27" s="491"/>
      <c r="U27" s="491"/>
      <c r="V27" s="495"/>
      <c r="W27" s="493"/>
      <c r="X27" s="439"/>
    </row>
    <row r="28" spans="1:24" s="440" customFormat="1" thickBot="1">
      <c r="A28" s="501" t="s">
        <v>25</v>
      </c>
      <c r="B28" s="502">
        <v>1.2149942533394724</v>
      </c>
      <c r="C28" s="439"/>
      <c r="V28" s="503"/>
      <c r="W28" s="504"/>
      <c r="X28" s="439"/>
    </row>
    <row r="29" spans="1:24" s="440" customFormat="1" ht="14.25">
      <c r="A29" s="504"/>
      <c r="B29" s="505"/>
      <c r="C29" s="506"/>
      <c r="D29" s="507"/>
      <c r="E29" s="507"/>
      <c r="F29" s="507"/>
      <c r="G29" s="507"/>
      <c r="H29" s="507"/>
      <c r="I29" s="507"/>
      <c r="J29" s="507"/>
      <c r="K29" s="507"/>
      <c r="L29" s="507"/>
      <c r="M29" s="507"/>
      <c r="N29" s="507"/>
      <c r="O29" s="507"/>
      <c r="P29" s="507"/>
      <c r="Q29" s="507"/>
      <c r="R29" s="507"/>
      <c r="S29" s="507"/>
      <c r="T29" s="507"/>
      <c r="U29" s="507"/>
      <c r="V29" s="508"/>
      <c r="W29" s="504"/>
      <c r="X29" s="439"/>
    </row>
    <row r="30" spans="1:24" s="440" customFormat="1" ht="14.25">
      <c r="A30" s="504"/>
      <c r="B30" s="505"/>
      <c r="C30" s="506"/>
      <c r="D30" s="507"/>
      <c r="E30" s="507"/>
      <c r="F30" s="507"/>
      <c r="G30" s="507"/>
      <c r="H30" s="507"/>
      <c r="I30" s="507"/>
      <c r="J30" s="507"/>
      <c r="K30" s="507"/>
      <c r="L30" s="507"/>
      <c r="M30" s="507"/>
      <c r="N30" s="507"/>
      <c r="O30" s="507"/>
      <c r="P30" s="507"/>
      <c r="Q30" s="507"/>
      <c r="R30" s="507"/>
      <c r="S30" s="507"/>
      <c r="T30" s="507"/>
      <c r="U30" s="507"/>
      <c r="V30" s="508"/>
      <c r="W30" s="504"/>
      <c r="X30" s="439"/>
    </row>
    <row r="31" spans="1:24" s="440" customFormat="1" ht="14.25">
      <c r="A31" s="509"/>
      <c r="B31" s="510"/>
      <c r="C31" s="507"/>
      <c r="D31" s="507"/>
      <c r="E31" s="507"/>
      <c r="F31" s="507"/>
      <c r="G31" s="507"/>
      <c r="H31" s="507"/>
      <c r="I31" s="507"/>
      <c r="J31" s="507"/>
      <c r="K31" s="507"/>
      <c r="L31" s="507"/>
      <c r="M31" s="507"/>
      <c r="N31" s="507"/>
      <c r="O31" s="507"/>
      <c r="P31" s="507"/>
      <c r="Q31" s="507"/>
      <c r="R31" s="507"/>
      <c r="S31" s="507"/>
      <c r="T31" s="507"/>
      <c r="U31" s="507"/>
      <c r="V31" s="508"/>
      <c r="W31" s="504"/>
      <c r="X31" s="439"/>
    </row>
    <row r="32" spans="1:24" s="440" customFormat="1" ht="14.25">
      <c r="A32" s="439"/>
      <c r="C32" s="507"/>
      <c r="D32" s="507"/>
      <c r="E32" s="507"/>
      <c r="F32" s="507"/>
      <c r="G32" s="507"/>
      <c r="H32" s="507"/>
      <c r="I32" s="507"/>
      <c r="J32" s="507"/>
      <c r="K32" s="507"/>
      <c r="L32" s="507"/>
      <c r="M32" s="507"/>
      <c r="N32" s="507"/>
      <c r="O32" s="507"/>
      <c r="P32" s="507"/>
      <c r="Q32" s="507"/>
      <c r="R32" s="507"/>
      <c r="S32" s="507"/>
      <c r="T32" s="507"/>
      <c r="U32" s="507"/>
      <c r="V32" s="508"/>
      <c r="W32" s="504"/>
      <c r="X32" s="439"/>
    </row>
    <row r="33" spans="1:24" s="440" customFormat="1" ht="14.25">
      <c r="A33" s="439"/>
      <c r="C33" s="507"/>
      <c r="D33" s="507"/>
      <c r="E33" s="507"/>
      <c r="F33" s="507"/>
      <c r="G33" s="507"/>
      <c r="H33" s="507"/>
      <c r="I33" s="507"/>
      <c r="J33" s="507"/>
      <c r="K33" s="507"/>
      <c r="L33" s="507"/>
      <c r="M33" s="507"/>
      <c r="N33" s="507"/>
      <c r="O33" s="507"/>
      <c r="P33" s="507"/>
      <c r="Q33" s="507"/>
      <c r="R33" s="507"/>
      <c r="S33" s="507"/>
      <c r="T33" s="507"/>
      <c r="U33" s="507"/>
      <c r="V33" s="508"/>
      <c r="W33" s="504"/>
      <c r="X33" s="439"/>
    </row>
    <row r="34" spans="1:24" s="440" customFormat="1" ht="14.25">
      <c r="A34" s="439"/>
      <c r="C34" s="507"/>
      <c r="D34" s="507"/>
      <c r="E34" s="507"/>
      <c r="F34" s="507"/>
      <c r="G34" s="507"/>
      <c r="H34" s="507"/>
      <c r="I34" s="507"/>
      <c r="J34" s="507"/>
      <c r="K34" s="507"/>
      <c r="L34" s="507"/>
      <c r="M34" s="507"/>
      <c r="N34" s="507"/>
      <c r="O34" s="507"/>
      <c r="P34" s="507"/>
      <c r="Q34" s="507"/>
      <c r="R34" s="507"/>
      <c r="S34" s="507"/>
      <c r="T34" s="507"/>
      <c r="U34" s="507"/>
      <c r="V34" s="508"/>
      <c r="W34" s="504"/>
      <c r="X34" s="439"/>
    </row>
    <row r="35" spans="1:24" s="440" customFormat="1" ht="14.25">
      <c r="A35" s="439"/>
      <c r="C35" s="507"/>
      <c r="D35" s="507"/>
      <c r="E35" s="507"/>
      <c r="F35" s="507"/>
      <c r="G35" s="507"/>
      <c r="H35" s="507"/>
      <c r="I35" s="507"/>
      <c r="J35" s="507"/>
      <c r="K35" s="507"/>
      <c r="L35" s="507"/>
      <c r="M35" s="507"/>
      <c r="N35" s="507"/>
      <c r="O35" s="507"/>
      <c r="P35" s="507"/>
      <c r="Q35" s="507"/>
      <c r="R35" s="507"/>
      <c r="S35" s="507"/>
      <c r="T35" s="507"/>
      <c r="U35" s="507"/>
      <c r="V35" s="508"/>
      <c r="W35" s="504"/>
      <c r="X35" s="439"/>
    </row>
    <row r="36" spans="1:24" s="440" customFormat="1" ht="14.25">
      <c r="A36" s="439"/>
      <c r="C36" s="507"/>
      <c r="D36" s="507"/>
      <c r="E36" s="507"/>
      <c r="F36" s="507"/>
      <c r="G36" s="507"/>
      <c r="H36" s="507"/>
      <c r="I36" s="507"/>
      <c r="J36" s="507"/>
      <c r="K36" s="507"/>
      <c r="L36" s="507"/>
      <c r="M36" s="507"/>
      <c r="N36" s="507"/>
      <c r="O36" s="507"/>
      <c r="P36" s="507"/>
      <c r="Q36" s="507"/>
      <c r="R36" s="507"/>
      <c r="S36" s="507"/>
      <c r="T36" s="507"/>
      <c r="U36" s="507"/>
      <c r="V36" s="508"/>
      <c r="W36" s="504"/>
      <c r="X36" s="439"/>
    </row>
    <row r="37" spans="1:24" s="102" customFormat="1" ht="12.75" customHeight="1" thickBot="1">
      <c r="B37" s="103" t="s">
        <v>26</v>
      </c>
      <c r="C37" s="104"/>
      <c r="D37" s="104"/>
      <c r="E37" s="104"/>
      <c r="F37" s="104"/>
      <c r="G37" s="104"/>
      <c r="H37" s="104"/>
      <c r="I37" s="104"/>
      <c r="J37" s="104"/>
      <c r="K37" s="104"/>
      <c r="L37" s="104"/>
      <c r="M37" s="104"/>
      <c r="N37" s="104"/>
      <c r="O37" s="104"/>
      <c r="P37" s="104"/>
      <c r="Q37" s="104"/>
      <c r="R37" s="104"/>
      <c r="S37" s="104"/>
      <c r="T37" s="104"/>
      <c r="U37" s="104"/>
      <c r="V37" s="105"/>
      <c r="W37" s="106"/>
      <c r="X37" s="107"/>
    </row>
    <row r="38" spans="1:24" s="102" customFormat="1" ht="12.75">
      <c r="B38" s="108" t="s">
        <v>27</v>
      </c>
      <c r="C38" s="109">
        <v>0</v>
      </c>
      <c r="D38" s="110">
        <v>1</v>
      </c>
      <c r="E38" s="110">
        <v>2</v>
      </c>
      <c r="F38" s="110">
        <v>3</v>
      </c>
      <c r="G38" s="110">
        <v>4</v>
      </c>
      <c r="H38" s="110">
        <v>5</v>
      </c>
      <c r="I38" s="110">
        <v>6</v>
      </c>
      <c r="J38" s="110">
        <v>7</v>
      </c>
      <c r="K38" s="110">
        <v>8</v>
      </c>
      <c r="L38" s="110">
        <v>9</v>
      </c>
      <c r="M38" s="110">
        <v>10</v>
      </c>
      <c r="N38" s="110">
        <v>11</v>
      </c>
      <c r="O38" s="110">
        <v>12</v>
      </c>
      <c r="P38" s="110">
        <v>13</v>
      </c>
      <c r="Q38" s="110">
        <v>14</v>
      </c>
      <c r="R38" s="110">
        <v>15</v>
      </c>
      <c r="S38" s="110">
        <v>16</v>
      </c>
      <c r="T38" s="110">
        <v>17</v>
      </c>
      <c r="U38" s="110">
        <v>18</v>
      </c>
      <c r="V38" s="110">
        <v>19</v>
      </c>
      <c r="W38" s="111">
        <v>20</v>
      </c>
      <c r="X38" s="107"/>
    </row>
    <row r="39" spans="1:24" s="102" customFormat="1" ht="12.75">
      <c r="B39" s="108" t="s">
        <v>28</v>
      </c>
      <c r="C39" s="112">
        <v>-4880000</v>
      </c>
      <c r="D39" s="113"/>
      <c r="E39" s="113"/>
      <c r="F39" s="113"/>
      <c r="G39" s="113"/>
      <c r="H39" s="113"/>
      <c r="I39" s="113"/>
      <c r="J39" s="113"/>
      <c r="K39" s="113"/>
      <c r="L39" s="113"/>
      <c r="M39" s="113"/>
      <c r="N39" s="113"/>
      <c r="O39" s="113"/>
      <c r="P39" s="113"/>
      <c r="Q39" s="113"/>
      <c r="R39" s="113"/>
      <c r="S39" s="113"/>
      <c r="T39" s="113"/>
      <c r="U39" s="113"/>
      <c r="V39" s="113"/>
      <c r="W39" s="114"/>
      <c r="X39" s="107"/>
    </row>
    <row r="40" spans="1:24" s="102" customFormat="1" ht="12.75">
      <c r="B40" s="108" t="s">
        <v>29</v>
      </c>
      <c r="D40" s="115">
        <v>-2302826.1894893427</v>
      </c>
      <c r="E40" s="115">
        <v>-2106097.4984678924</v>
      </c>
      <c r="F40" s="115">
        <v>-751138.82812142</v>
      </c>
      <c r="G40" s="115">
        <v>4597843.2675823085</v>
      </c>
      <c r="H40" s="115">
        <v>5747304.0844778866</v>
      </c>
      <c r="I40" s="115">
        <v>5747304.0844778866</v>
      </c>
      <c r="J40" s="115">
        <v>27831996.225296445</v>
      </c>
      <c r="K40" s="115">
        <v>27831996.225296445</v>
      </c>
      <c r="L40" s="115">
        <v>27831996.225296445</v>
      </c>
      <c r="M40" s="115">
        <v>27831996.225296445</v>
      </c>
      <c r="N40" s="115">
        <v>27831996.225296445</v>
      </c>
      <c r="O40" s="115">
        <v>27831996.225296445</v>
      </c>
      <c r="P40" s="115">
        <v>27831996.225296445</v>
      </c>
      <c r="Q40" s="115">
        <v>27831996.225296445</v>
      </c>
      <c r="R40" s="115">
        <v>27831996.225296445</v>
      </c>
      <c r="S40" s="115">
        <v>27831996.225296445</v>
      </c>
      <c r="T40" s="115">
        <v>27831996.225296445</v>
      </c>
      <c r="U40" s="115">
        <v>27831996.225296445</v>
      </c>
      <c r="V40" s="115">
        <v>27831996.225296445</v>
      </c>
      <c r="W40" s="116">
        <v>27831996.225296445</v>
      </c>
      <c r="X40" s="107"/>
    </row>
    <row r="41" spans="1:24" s="102" customFormat="1" ht="13.5" thickBot="1">
      <c r="B41" s="108" t="s">
        <v>30</v>
      </c>
      <c r="C41" s="117">
        <v>-4880000</v>
      </c>
      <c r="D41" s="118">
        <v>-7182826.1894893423</v>
      </c>
      <c r="E41" s="118">
        <v>-9288923.6879572347</v>
      </c>
      <c r="F41" s="118">
        <v>-10040062.516078655</v>
      </c>
      <c r="G41" s="118">
        <v>-5442219.2484963462</v>
      </c>
      <c r="H41" s="118">
        <v>305084.83598154038</v>
      </c>
      <c r="I41" s="118">
        <v>6052388.9204594269</v>
      </c>
      <c r="J41" s="118">
        <v>33884385.145755872</v>
      </c>
      <c r="K41" s="118">
        <v>61716381.371052317</v>
      </c>
      <c r="L41" s="118">
        <v>89548377.596348763</v>
      </c>
      <c r="M41" s="118">
        <v>117380373.8216452</v>
      </c>
      <c r="N41" s="118">
        <v>145212370.04694164</v>
      </c>
      <c r="O41" s="118">
        <v>173044366.27223808</v>
      </c>
      <c r="P41" s="118">
        <v>200876362.49753451</v>
      </c>
      <c r="Q41" s="118">
        <v>228708358.72283095</v>
      </c>
      <c r="R41" s="118">
        <v>256540354.94812739</v>
      </c>
      <c r="S41" s="118">
        <v>284372351.17342383</v>
      </c>
      <c r="T41" s="118">
        <v>312204347.39872026</v>
      </c>
      <c r="U41" s="118">
        <v>340036343.6240167</v>
      </c>
      <c r="V41" s="118">
        <v>367868339.84931314</v>
      </c>
      <c r="W41" s="119">
        <v>395700336.07460958</v>
      </c>
      <c r="X41" s="107"/>
    </row>
    <row r="42" spans="1:24" s="128" customFormat="1" ht="14.25">
      <c r="A42" s="120"/>
      <c r="B42" s="121"/>
      <c r="C42" s="122"/>
      <c r="D42" s="123"/>
      <c r="E42" s="124"/>
      <c r="F42" s="124"/>
      <c r="G42" s="124"/>
      <c r="H42" s="124"/>
      <c r="I42" s="124"/>
      <c r="J42" s="124"/>
      <c r="K42" s="124"/>
      <c r="L42" s="124"/>
      <c r="M42" s="124"/>
      <c r="N42" s="124"/>
      <c r="O42" s="124"/>
      <c r="P42" s="124"/>
      <c r="Q42" s="124"/>
      <c r="R42" s="124"/>
      <c r="S42" s="124"/>
      <c r="T42" s="124"/>
      <c r="U42" s="124"/>
      <c r="V42" s="125"/>
      <c r="W42" s="126"/>
      <c r="X42" s="127"/>
    </row>
    <row r="43" spans="1:24" s="128" customFormat="1" thickBot="1">
      <c r="B43" s="129" t="s">
        <v>31</v>
      </c>
      <c r="C43" s="130">
        <v>4.9469168793755838</v>
      </c>
      <c r="D43" s="127"/>
      <c r="V43" s="121"/>
      <c r="W43" s="126"/>
      <c r="X43" s="127"/>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0979F12F22C9E4F9273E32F354CEDB7" ma:contentTypeVersion="20" ma:contentTypeDescription="Create a new document." ma:contentTypeScope="" ma:versionID="ea4e5d10fa89c9815ebf3d9d51abb56c">
  <xsd:schema xmlns:xsd="http://www.w3.org/2001/XMLSchema" xmlns:xs="http://www.w3.org/2001/XMLSchema" xmlns:p="http://schemas.microsoft.com/office/2006/metadata/properties" xmlns:ns2="366ae72f-6d51-4737-8f6b-a9169c366b64" xmlns:ns3="a3cd7b71-671d-4139-9a97-5d1a7380fae4" xmlns:ns4="50c9b839-8b53-4ddb-9b24-b96221f2bda6" targetNamespace="http://schemas.microsoft.com/office/2006/metadata/properties" ma:root="true" ma:fieldsID="bb0d8430c0dc2f6bfac168702e804803" ns2:_="" ns3:_="" ns4:_="">
    <xsd:import namespace="366ae72f-6d51-4737-8f6b-a9169c366b64"/>
    <xsd:import namespace="a3cd7b71-671d-4139-9a97-5d1a7380fae4"/>
    <xsd:import namespace="50c9b839-8b53-4ddb-9b24-b96221f2bda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3:SharedWithUsers" minOccurs="0"/>
                <xsd:element ref="ns3:SharedWithDetails" minOccurs="0"/>
                <xsd:element ref="ns2:file_x0020_" minOccurs="0"/>
                <xsd:element ref="ns2:remark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lcf76f155ced4ddcb4097134ff3c332f" minOccurs="0"/>
                <xsd:element ref="ns4: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66ae72f-6d51-4737-8f6b-a9169c366b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description=""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file_x0020_" ma:index="16" nillable="true" ma:displayName="file " ma:format="Dropdown" ma:internalName="file_x0020_" ma:percentage="FALSE">
      <xsd:simpleType>
        <xsd:restriction base="dms:Number"/>
      </xsd:simpleType>
    </xsd:element>
    <xsd:element name="remarks" ma:index="17" nillable="true" ma:displayName="remarks" ma:format="Dropdown" ma:internalName="remarks">
      <xsd:simpleType>
        <xsd:restriction base="dms:Text">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Image Tags" ma:readOnly="false" ma:fieldId="{5cf76f15-5ced-4ddc-b409-7134ff3c332f}" ma:taxonomyMulti="true" ma:sspId="3a5397d5-9543-4dbc-8fcb-23c3638b1d4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3cd7b71-671d-4139-9a97-5d1a7380fae4"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0c9b839-8b53-4ddb-9b24-b96221f2bda6" elementFormDefault="qualified">
    <xsd:import namespace="http://schemas.microsoft.com/office/2006/documentManagement/types"/>
    <xsd:import namespace="http://schemas.microsoft.com/office/infopath/2007/PartnerControls"/>
    <xsd:element name="TaxCatchAll" ma:index="25" nillable="true" ma:displayName="Taxonomy Catch All Column" ma:hidden="true" ma:list="{5fd50e79-fa69-4ed5-b0f8-bdacc103d93a}" ma:internalName="TaxCatchAll" ma:showField="CatchAllData" ma:web="a3cd7b71-671d-4139-9a97-5d1a7380fa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66ae72f-6d51-4737-8f6b-a9169c366b64">
      <Terms xmlns="http://schemas.microsoft.com/office/infopath/2007/PartnerControls"/>
    </lcf76f155ced4ddcb4097134ff3c332f>
    <TaxCatchAll xmlns="50c9b839-8b53-4ddb-9b24-b96221f2bda6" xsi:nil="true"/>
    <remarks xmlns="366ae72f-6d51-4737-8f6b-a9169c366b64" xsi:nil="true"/>
    <file_x0020_ xmlns="366ae72f-6d51-4737-8f6b-a9169c366b64" xsi:nil="true"/>
    <SharedWithUsers xmlns="a3cd7b71-671d-4139-9a97-5d1a7380fae4">
      <UserInfo>
        <DisplayName/>
        <AccountId xsi:nil="true"/>
        <AccountType/>
      </UserInfo>
    </SharedWithUsers>
    <MediaLengthInSeconds xmlns="366ae72f-6d51-4737-8f6b-a9169c366b64" xsi:nil="true"/>
  </documentManagement>
</p:properties>
</file>

<file path=customXml/itemProps1.xml><?xml version="1.0" encoding="utf-8"?>
<ds:datastoreItem xmlns:ds="http://schemas.openxmlformats.org/officeDocument/2006/customXml" ds:itemID="{B5342A4E-9D0C-4CA5-891A-FDCB711F84D3}"/>
</file>

<file path=customXml/itemProps2.xml><?xml version="1.0" encoding="utf-8"?>
<ds:datastoreItem xmlns:ds="http://schemas.openxmlformats.org/officeDocument/2006/customXml" ds:itemID="{0B64B34B-E23E-46B8-BD66-67819CAEB010}"/>
</file>

<file path=customXml/itemProps3.xml><?xml version="1.0" encoding="utf-8"?>
<ds:datastoreItem xmlns:ds="http://schemas.openxmlformats.org/officeDocument/2006/customXml" ds:itemID="{AF3C4E21-B5BA-4F84-9C07-54E53815D97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2</vt:i4>
      </vt:variant>
    </vt:vector>
  </HeadingPairs>
  <TitlesOfParts>
    <vt:vector size="26" baseType="lpstr">
      <vt:lpstr>Econ Sensitivity Analysis</vt:lpstr>
      <vt:lpstr>Detailed Budget</vt:lpstr>
      <vt:lpstr>Detailed Budget Notes </vt:lpstr>
      <vt:lpstr>Summary</vt:lpstr>
      <vt:lpstr>Consolidated Results of All ITs</vt:lpstr>
      <vt:lpstr>Overall Economic Benefits</vt:lpstr>
      <vt:lpstr>Overall Financial Benefits</vt:lpstr>
      <vt:lpstr>Sheet3</vt:lpstr>
      <vt:lpstr>E- Investment Type 1</vt:lpstr>
      <vt:lpstr>F- Investment Type 1</vt:lpstr>
      <vt:lpstr>E-Investment Type 2</vt:lpstr>
      <vt:lpstr>F-Investment Type 2</vt:lpstr>
      <vt:lpstr>E-Investment Type 3</vt:lpstr>
      <vt:lpstr>F-Investment Type 3</vt:lpstr>
      <vt:lpstr>E-Investment Type 4</vt:lpstr>
      <vt:lpstr>F-Investment Type 4</vt:lpstr>
      <vt:lpstr>E-Investment Type 5</vt:lpstr>
      <vt:lpstr>F-Investment Type 5</vt:lpstr>
      <vt:lpstr>E-Investment Type 6</vt:lpstr>
      <vt:lpstr>F-Investment Type 6</vt:lpstr>
      <vt:lpstr>E-Investment Type 7</vt:lpstr>
      <vt:lpstr>E-Investment Type 8</vt:lpstr>
      <vt:lpstr>Investment Type 9</vt:lpstr>
      <vt:lpstr>Investment Type 10</vt:lpstr>
      <vt:lpstr>'Detailed Budget'!Print_Area</vt:lpstr>
      <vt:lpstr>'Detailed Budget Notes '!Print_Area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User</dc:creator>
  <cp:lastModifiedBy>User</cp:lastModifiedBy>
  <dcterms:created xsi:type="dcterms:W3CDTF">2023-08-04T06:37:37Z</dcterms:created>
  <dcterms:modified xsi:type="dcterms:W3CDTF">2023-12-13T21:26:10Z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0x01010000979F12F22C9E4F9273E32F354CEDB7</vt:lpwstr>
  </property>
  <property fmtid="{D5CDD505-2E9C-101B-9397-08002B2CF9AE}" pid="3" name="MediaServiceImageTags">
    <vt:lpwstr/>
  </property>
  <property fmtid="{D5CDD505-2E9C-101B-9397-08002B2CF9AE}" pid="4" name="Etag">
    <vt:lpwstr>0x8DBFD580E58F7CE</vt:lpwstr>
  </property>
  <property fmtid="{D5CDD505-2E9C-101B-9397-08002B2CF9AE}" pid="5" name="Order">
    <vt:r8>76072500</vt:r8>
  </property>
  <property fmtid="{D5CDD505-2E9C-101B-9397-08002B2CF9AE}" pid="6" name="SWCPowerTaggingTag">
    <vt:lpwstr>{"Extraction":2,"Tags":[],"Msg":"PowerTagging ListItem Error: The request was canceled due to the configured HttpClient.Timeout of 100 seconds elapsing."}</vt:lpwstr>
  </property>
  <property fmtid="{D5CDD505-2E9C-101B-9397-08002B2CF9AE}" pid="7" name="blobFile">
    <vt:lpwstr>7cc5425d-60b4-459a-8c7b-305af2ff368a/96741707-bb84-47f3-94ad-fa97f3039c30.xlsx</vt:lpwstr>
  </property>
  <property fmtid="{D5CDD505-2E9C-101B-9397-08002B2CF9AE}" pid="8" name="xd_Signature">
    <vt:bool>false</vt:bool>
  </property>
  <property fmtid="{D5CDD505-2E9C-101B-9397-08002B2CF9AE}" pid="9" name="xd_ProgID">
    <vt:lpwstr/>
  </property>
  <property fmtid="{D5CDD505-2E9C-101B-9397-08002B2CF9AE}" pid="10" name="_SourceUrl">
    <vt:lpwstr/>
  </property>
  <property fmtid="{D5CDD505-2E9C-101B-9397-08002B2CF9AE}" pid="11" name="_SharedFileIndex">
    <vt:lpwstr/>
  </property>
  <property fmtid="{D5CDD505-2E9C-101B-9397-08002B2CF9AE}" pid="12" name="TemplateUrl">
    <vt:lpwstr/>
  </property>
  <property fmtid="{D5CDD505-2E9C-101B-9397-08002B2CF9AE}" pid="13" name="ComplianceAssetId">
    <vt:lpwstr/>
  </property>
  <property fmtid="{D5CDD505-2E9C-101B-9397-08002B2CF9AE}" pid="14" name="DocumentType">
    <vt:lpwstr>Econ. &amp; Fin. Analysis</vt:lpwstr>
  </property>
  <property fmtid="{D5CDD505-2E9C-101B-9397-08002B2CF9AE}" pid="15" name="_ExtendedDescription">
    <vt:lpwstr/>
  </property>
  <property fmtid="{D5CDD505-2E9C-101B-9397-08002B2CF9AE}" pid="16" name="TriggerFlowInfo">
    <vt:lpwstr/>
  </property>
</Properties>
</file>